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1) Emerald Rating\New Product Innovation\Tax Rate Multiplier\"/>
    </mc:Choice>
  </mc:AlternateContent>
  <xr:revisionPtr revIDLastSave="0" documentId="8_{7BB4A099-3E3E-4477-A578-103A79E48BF7}" xr6:coauthVersionLast="36" xr6:coauthVersionMax="36" xr10:uidLastSave="{00000000-0000-0000-0000-000000000000}"/>
  <bookViews>
    <workbookView xWindow="0" yWindow="120" windowWidth="20610" windowHeight="11570" firstSheet="1" activeTab="3" xr2:uid="{00000000-000D-0000-FFFF-FFFF00000000}"/>
  </bookViews>
  <sheets>
    <sheet name="Scoring Ranges" sheetId="8" state="hidden" r:id="rId1"/>
    <sheet name="Input Balance Sheet" sheetId="2" r:id="rId2"/>
    <sheet name="Input P&amp;L" sheetId="3" r:id="rId3"/>
    <sheet name="Output Tax Rate Multiplier" sheetId="4" r:id="rId4"/>
    <sheet name="Cash Flow" sheetId="7" state="hidden" r:id="rId5"/>
  </sheets>
  <definedNames>
    <definedName name="_LST" localSheetId="0">#REF!</definedName>
    <definedName name="_LST">#REF!</definedName>
    <definedName name="_LST1" localSheetId="0">OFFSET(#REF!,0,0,COUNTA(#REF!),1)</definedName>
    <definedName name="_LST1">OFFSET(#REF!,0,0,COUNTA(#REF!),1)</definedName>
    <definedName name="AvailabilityCashCredit">'Scoring Ranges'!#REF!</definedName>
    <definedName name="BusinessDiversification">'Scoring Ranges'!#REF!</definedName>
    <definedName name="CountryRisk">'Scoring Ranges'!#REF!</definedName>
    <definedName name="GeographicCoverage">'Scoring Ranges'!#REF!</definedName>
    <definedName name="IndustryRisk">'Scoring Ranges'!#REF!</definedName>
    <definedName name="OrganizationalType">'Scoring Ranges'!#REF!</definedName>
    <definedName name="PaymentExperience">'Scoring Ranges'!#REF!</definedName>
    <definedName name="_xlnm.Print_Area" localSheetId="4">'Cash Flow'!$A$1:$C$18</definedName>
    <definedName name="_xlnm.Print_Area" localSheetId="1">'Input Balance Sheet'!$A$1:$D$53</definedName>
    <definedName name="_xlnm.Print_Area" localSheetId="2">'Input P&amp;L'!$A$1:$D$29</definedName>
    <definedName name="_xlnm.Print_Area" localSheetId="3">'Output Tax Rate Multiplier'!$A$1:$F$47</definedName>
    <definedName name="_xlnm.Print_Area" localSheetId="0">'Scoring Ranges'!$B$8:$X$20</definedName>
    <definedName name="VolatilityNetIncome">'Scoring Ranges'!#REF!</definedName>
    <definedName name="YearsInBusiness">'Scoring Ranges'!#REF!</definedName>
    <definedName name="YearsInBusinessWithUs">'Scoring Ranges'!#REF!</definedName>
  </definedNames>
  <calcPr calcId="191029"/>
</workbook>
</file>

<file path=xl/calcChain.xml><?xml version="1.0" encoding="utf-8"?>
<calcChain xmlns="http://schemas.openxmlformats.org/spreadsheetml/2006/main">
  <c r="F44" i="4" l="1"/>
  <c r="F25" i="4" l="1"/>
  <c r="F24" i="4"/>
  <c r="F41" i="4"/>
  <c r="F39" i="4"/>
  <c r="F38" i="4"/>
  <c r="F43" i="4"/>
  <c r="F42" i="4"/>
  <c r="F40" i="4"/>
  <c r="F37" i="4"/>
  <c r="F35" i="4"/>
  <c r="F33" i="4"/>
  <c r="F30" i="4"/>
  <c r="F32" i="4"/>
  <c r="F31" i="4"/>
  <c r="F34" i="4"/>
  <c r="F29" i="4"/>
  <c r="F28" i="4"/>
  <c r="F26" i="4"/>
  <c r="F23" i="4"/>
  <c r="F22" i="4"/>
  <c r="F19" i="4"/>
  <c r="F20" i="4"/>
  <c r="F21" i="4"/>
  <c r="F18" i="4" l="1"/>
  <c r="F36" i="4"/>
  <c r="F27" i="4"/>
  <c r="F45" i="4" l="1"/>
  <c r="F47" i="4" s="1"/>
  <c r="D16" i="3"/>
  <c r="C16" i="3"/>
  <c r="D35" i="2"/>
  <c r="C35" i="2"/>
  <c r="C17" i="7" l="1"/>
  <c r="C16" i="7"/>
  <c r="C15" i="7"/>
  <c r="C14" i="7"/>
  <c r="B6" i="7" l="1"/>
  <c r="B5" i="7"/>
  <c r="B4" i="7"/>
  <c r="B3" i="7"/>
  <c r="B2" i="7"/>
  <c r="B6" i="8"/>
  <c r="B5" i="8"/>
  <c r="B4" i="8"/>
  <c r="B3" i="8"/>
  <c r="B2" i="8"/>
  <c r="B6" i="3"/>
  <c r="B5" i="3"/>
  <c r="B4" i="3"/>
  <c r="B3" i="3"/>
  <c r="B2" i="3"/>
  <c r="D45" i="2" l="1"/>
  <c r="D51" i="2" l="1"/>
  <c r="C51" i="2"/>
  <c r="C45" i="2"/>
  <c r="D28" i="2"/>
  <c r="C28" i="2"/>
  <c r="C13" i="7" l="1"/>
  <c r="D9" i="3" l="1"/>
  <c r="C9" i="3"/>
  <c r="C9" i="7" s="1"/>
  <c r="E15" i="4" l="1"/>
  <c r="D12" i="3" l="1"/>
  <c r="D23" i="3" l="1"/>
  <c r="C23" i="3"/>
  <c r="D21" i="3"/>
  <c r="C12" i="3"/>
  <c r="D26" i="3" l="1"/>
  <c r="C21" i="3"/>
  <c r="D12" i="4" l="1"/>
  <c r="F12" i="4" s="1"/>
  <c r="C10" i="7"/>
  <c r="D28" i="3"/>
  <c r="D29" i="3"/>
  <c r="C26" i="3"/>
  <c r="C28" i="3" l="1"/>
  <c r="C29" i="3"/>
  <c r="D7" i="4" s="1"/>
  <c r="D15" i="2" l="1"/>
  <c r="D18" i="2"/>
  <c r="D36" i="2"/>
  <c r="C36" i="2"/>
  <c r="C18" i="2"/>
  <c r="D21" i="2" l="1"/>
  <c r="D29" i="2" s="1"/>
  <c r="D52" i="2"/>
  <c r="F7" i="4"/>
  <c r="C52" i="2"/>
  <c r="D4" i="4" s="1"/>
  <c r="F4" i="4" s="1"/>
  <c r="C15" i="2" l="1"/>
  <c r="C21" i="2" l="1"/>
  <c r="C29" i="2" s="1"/>
  <c r="C6" i="2" s="1"/>
  <c r="C18" i="7"/>
  <c r="D5" i="4" s="1"/>
  <c r="F5" i="4" s="1"/>
  <c r="F6" i="4" s="1"/>
  <c r="D9" i="4" l="1"/>
  <c r="F9" i="4" s="1"/>
  <c r="D10" i="4"/>
  <c r="F10" i="4" s="1"/>
  <c r="D8" i="4"/>
  <c r="F8" i="4" s="1"/>
  <c r="D13" i="4"/>
  <c r="F13" i="4" l="1"/>
  <c r="F14" i="4" s="1"/>
  <c r="F11" i="4"/>
  <c r="F1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Danny Kaltenborn</author>
  </authors>
  <commentList>
    <comment ref="B27" authorId="0" shapeId="0" xr:uid="{00000000-0006-0000-0400-000001000000}">
      <text>
        <r>
          <rPr>
            <sz val="9"/>
            <color indexed="81"/>
            <rFont val="Tahoma"/>
            <family val="2"/>
          </rPr>
          <t>estimate if needed, 10% of fixed and intangible assets</t>
        </r>
      </text>
    </comment>
  </commentList>
</comments>
</file>

<file path=xl/sharedStrings.xml><?xml version="1.0" encoding="utf-8"?>
<sst xmlns="http://schemas.openxmlformats.org/spreadsheetml/2006/main" count="299" uniqueCount="158">
  <si>
    <t>Name:</t>
  </si>
  <si>
    <t>Score</t>
  </si>
  <si>
    <t>Current Ratio</t>
  </si>
  <si>
    <t>Quick Ratio</t>
  </si>
  <si>
    <t>Score 10</t>
  </si>
  <si>
    <t>&gt;</t>
  </si>
  <si>
    <t>&lt;</t>
  </si>
  <si>
    <t>&lt;=</t>
  </si>
  <si>
    <t>&gt;=</t>
  </si>
  <si>
    <t>Score 100</t>
  </si>
  <si>
    <t>Score 90</t>
  </si>
  <si>
    <t>Score 80</t>
  </si>
  <si>
    <t>Score 70</t>
  </si>
  <si>
    <t>Score 60</t>
  </si>
  <si>
    <t>Score 40</t>
  </si>
  <si>
    <t>Score 30</t>
  </si>
  <si>
    <t>Score 20</t>
  </si>
  <si>
    <t>Score 50</t>
  </si>
  <si>
    <t>Financial Leverage</t>
  </si>
  <si>
    <t>Dynamic Financial Leverage</t>
  </si>
  <si>
    <t>Financial Statement Risk Evaluation</t>
  </si>
  <si>
    <t>Leverage Score</t>
  </si>
  <si>
    <t>Liquidity Score</t>
  </si>
  <si>
    <t>Profitability Score</t>
  </si>
  <si>
    <t>Interest Coverage</t>
  </si>
  <si>
    <t>Operating Cash Flow - Current Liabilities Ratio</t>
  </si>
  <si>
    <t>Operting Profit Margin</t>
  </si>
  <si>
    <t>Return on Assets</t>
  </si>
  <si>
    <t>Cultural Compatibility</t>
  </si>
  <si>
    <t>Social Compatibiliy</t>
  </si>
  <si>
    <t>Nature Compatibility</t>
  </si>
  <si>
    <t>Ratio</t>
  </si>
  <si>
    <t>Weight</t>
  </si>
  <si>
    <t>Input</t>
  </si>
  <si>
    <t>Street:</t>
  </si>
  <si>
    <t>Place:</t>
  </si>
  <si>
    <t>Place Code:</t>
  </si>
  <si>
    <t>Country:</t>
  </si>
  <si>
    <t>= Liabilities / Assets</t>
  </si>
  <si>
    <t>= Operating Cash Flow / Total Debt (excluding Pension Plan Reserves)</t>
  </si>
  <si>
    <t>= Operating Cash Flow / Current Liabilities</t>
  </si>
  <si>
    <t>= Current Assets / Current Liabilities</t>
  </si>
  <si>
    <t>= (Current Assets - Inventories) / Current Liabilities</t>
  </si>
  <si>
    <t>= (Operating Income - Inventory Changes in Finished Goods) / Net Sales</t>
  </si>
  <si>
    <t>= Net Profit After Tax / Total Assets</t>
  </si>
  <si>
    <t>Customer</t>
  </si>
  <si>
    <t>Balance Sheet</t>
  </si>
  <si>
    <t>Year</t>
  </si>
  <si>
    <t>Cash and Cash Equivalents</t>
  </si>
  <si>
    <t>Accounts Receivable - Trade</t>
  </si>
  <si>
    <t>Accounts Receivable - Intercomany</t>
  </si>
  <si>
    <t>Accounts Receivable - Other</t>
  </si>
  <si>
    <t>Accounts Receivable</t>
  </si>
  <si>
    <t>Finished Goods</t>
  </si>
  <si>
    <t>Inventories</t>
  </si>
  <si>
    <t>Prepaid Expenses</t>
  </si>
  <si>
    <t>Current Assets</t>
  </si>
  <si>
    <t>Fixed Assets</t>
  </si>
  <si>
    <t>Intangible Assets</t>
  </si>
  <si>
    <t>Investments in Subsidiaries</t>
  </si>
  <si>
    <t>Non-current Receivables</t>
  </si>
  <si>
    <t>Other long term Assets</t>
  </si>
  <si>
    <t>Non-Current Assets</t>
  </si>
  <si>
    <t>Total Assets</t>
  </si>
  <si>
    <t>Common Stock</t>
  </si>
  <si>
    <t>Additional Paid-In Capital</t>
  </si>
  <si>
    <t>Retained Earnings</t>
  </si>
  <si>
    <t>Other Equity</t>
  </si>
  <si>
    <t>Equity</t>
  </si>
  <si>
    <t>Short Term Debt</t>
  </si>
  <si>
    <t>Accounts Payable - Trade</t>
  </si>
  <si>
    <t>Accounts Payable - Other</t>
  </si>
  <si>
    <t>Tax Payables</t>
  </si>
  <si>
    <t>Deffered Tax Assets</t>
  </si>
  <si>
    <t>Accrued Expenses</t>
  </si>
  <si>
    <t>Current Liabilities</t>
  </si>
  <si>
    <t>Long-Term Debt</t>
  </si>
  <si>
    <t>Long-Term Debt - Intercompany</t>
  </si>
  <si>
    <t>Long-Term Leases</t>
  </si>
  <si>
    <t>Pension Plan Reserves</t>
  </si>
  <si>
    <t>Non-Current Liabilities</t>
  </si>
  <si>
    <t>Total Eqiutiy and Liabilities</t>
  </si>
  <si>
    <t>Net Sales</t>
  </si>
  <si>
    <t>Other Operating Income</t>
  </si>
  <si>
    <t>Cost of Goods Sold</t>
  </si>
  <si>
    <t>Gross Margin</t>
  </si>
  <si>
    <t>Sales &amp; Marketing Expenses</t>
  </si>
  <si>
    <t>Administration Expenses</t>
  </si>
  <si>
    <t>Research &amp; Development Expenses</t>
  </si>
  <si>
    <t>Depreciation &amp; Amortization</t>
  </si>
  <si>
    <t>Other Operating Expense</t>
  </si>
  <si>
    <t>Operating Income</t>
  </si>
  <si>
    <t>Net Profit After Tax</t>
  </si>
  <si>
    <t>Income from shares and loans</t>
  </si>
  <si>
    <t>Other interest income and similar income</t>
  </si>
  <si>
    <t>Interest expense and similar expense</t>
  </si>
  <si>
    <t>Extraordinary Result</t>
  </si>
  <si>
    <t>Income tax</t>
  </si>
  <si>
    <t>Other tax</t>
  </si>
  <si>
    <t>Operating Activities, cash flows provided by or used in:</t>
  </si>
  <si>
    <t>Net Cash Flow from Operating Activities</t>
  </si>
  <si>
    <t>Cash Flow Statement</t>
  </si>
  <si>
    <t>Accounts Payable - Intercompany</t>
  </si>
  <si>
    <t>Profit &amp; Loss Statement</t>
  </si>
  <si>
    <t>Other Current Assets</t>
  </si>
  <si>
    <t>Other Non-Current Assets</t>
  </si>
  <si>
    <t>Other Current Liabilities</t>
  </si>
  <si>
    <t>Other Non-Current Liabilities</t>
  </si>
  <si>
    <t>Operating Profit Margin</t>
  </si>
  <si>
    <t>Extraordinary Gain/ Loss (e.g. asset sales)</t>
  </si>
  <si>
    <t>Raw Materials, Semi-Finished Goods etc.</t>
  </si>
  <si>
    <t>EBITDA</t>
  </si>
  <si>
    <t>EBIT</t>
  </si>
  <si>
    <t>= (EBIT - Inventory Changes in Finished Goods) / Interest Expenses</t>
  </si>
  <si>
    <t>Decrease (Increase) in Current Assets</t>
  </si>
  <si>
    <t>Increase (Decrease) in Liabilities</t>
  </si>
  <si>
    <t>Decrease (Increase) of reserves at liabilities side</t>
  </si>
  <si>
    <t>Increase (Decrease) of reserves at asset side</t>
  </si>
  <si>
    <t>Tax Rate Mulitplier Model</t>
  </si>
  <si>
    <t>Customer Behavior Evaluation</t>
  </si>
  <si>
    <t>Are they limiting themselves in terms of growth (quality over quantity)?</t>
  </si>
  <si>
    <t>Yes</t>
  </si>
  <si>
    <t>No</t>
  </si>
  <si>
    <t>Is the company using tax competition between countries to increase their own profits (tax haven)?</t>
  </si>
  <si>
    <t>Do they acknowledge the importance of Environement, Social, and Governance (ESG) ratings with an own commitment?</t>
  </si>
  <si>
    <t>Did they have issues with bullying?</t>
  </si>
  <si>
    <t>Do they commit to the UN charta of human rights? UN.org</t>
  </si>
  <si>
    <t>Are there negative information on firing employees in the internet?</t>
  </si>
  <si>
    <t>Is the company compatible with the cultural development in societies they make business in?</t>
  </si>
  <si>
    <t>How is the behaviour of the company towards humans in a social and economic manner?</t>
  </si>
  <si>
    <t>Did they publish leadership principles?</t>
  </si>
  <si>
    <t>Do they commit to safety standards?</t>
  </si>
  <si>
    <t>Are employees participating in profits of the company?</t>
  </si>
  <si>
    <t>Do they have an atmosphere of constructive debate?</t>
  </si>
  <si>
    <t>Are they organized hierarchically?</t>
  </si>
  <si>
    <t>Does the company commit to a short-term circular economy?</t>
  </si>
  <si>
    <t>Is the company negatively mentioned by environment organizations (e.g. Greenpeace, WWF)?</t>
  </si>
  <si>
    <t>Does the company recycle what they have produced after product life time?</t>
  </si>
  <si>
    <t>Are they moving production to countries that are less strickt  in ecologic matters?</t>
  </si>
  <si>
    <t>Is there a negative public appearance of leadership opposing NGOs or governmental instituations?</t>
  </si>
  <si>
    <t>Do they work together with communities in ecologic matters?</t>
  </si>
  <si>
    <t>Did they agree for and execute an Eco audit recently, as well as publishing it?</t>
  </si>
  <si>
    <t>Do they commit to be CO2 neutral within the next 5 years?</t>
  </si>
  <si>
    <t>Customer Behavior Risk Score</t>
  </si>
  <si>
    <t>Is the company involved in ecologic legal claims?</t>
  </si>
  <si>
    <t>Are they respectful and fair in terms of 'competition should not destroy'?</t>
  </si>
  <si>
    <t>Is this company doing lobbying work beyond normal public relations activities?</t>
  </si>
  <si>
    <t>Are they partners in the value chain instead of melking the value chain for their own profit?</t>
  </si>
  <si>
    <t>Do they respect local rights and work together with local competitors?</t>
  </si>
  <si>
    <t>Tax Rate Multiplier</t>
  </si>
  <si>
    <t>Sample Company</t>
  </si>
  <si>
    <t>Financial Statement Score</t>
  </si>
  <si>
    <t>Financial Statement Evaluation</t>
  </si>
  <si>
    <t>Does the CEO earnes more than 4 times of the average salary?</t>
  </si>
  <si>
    <t>Tax Haven</t>
  </si>
  <si>
    <t>696 Fraud Street</t>
  </si>
  <si>
    <t>Oil Garden</t>
  </si>
  <si>
    <t>Not 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</si>
</sst>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40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2" borderId="0" xfId="0" applyFill="1" applyAlignment="1">
      <alignment horizontal="left" indent="2"/>
    </xf>
    <xf numFmtId="0" fontId="0" fillId="3" borderId="0" xfId="0" applyFill="1" applyAlignment="1">
      <alignment horizontal="left" indent="1"/>
    </xf>
    <xf numFmtId="0" fontId="0" fillId="5" borderId="0" xfId="0" applyFill="1" applyAlignment="1">
      <alignment horizontal="left"/>
    </xf>
    <xf numFmtId="0" fontId="0" fillId="6" borderId="0" xfId="0" applyFill="1"/>
    <xf numFmtId="0" fontId="0" fillId="4" borderId="0" xfId="0" applyFill="1" applyAlignment="1">
      <alignment horizontal="left" indent="1"/>
    </xf>
    <xf numFmtId="0" fontId="0" fillId="0" borderId="1" xfId="0" applyBorder="1"/>
    <xf numFmtId="0" fontId="0" fillId="7" borderId="0" xfId="0" applyFill="1"/>
    <xf numFmtId="0" fontId="0" fillId="8" borderId="0" xfId="0" applyFill="1"/>
    <xf numFmtId="0" fontId="3" fillId="0" borderId="0" xfId="0" applyFont="1"/>
    <xf numFmtId="9" fontId="0" fillId="0" borderId="6" xfId="1" applyFont="1" applyBorder="1" applyAlignment="1">
      <alignment horizontal="center"/>
    </xf>
    <xf numFmtId="9" fontId="0" fillId="0" borderId="8" xfId="1" applyFont="1" applyBorder="1" applyAlignment="1">
      <alignment horizontal="center"/>
    </xf>
    <xf numFmtId="9" fontId="0" fillId="0" borderId="0" xfId="1" applyFont="1" applyAlignment="1">
      <alignment horizontal="center"/>
    </xf>
    <xf numFmtId="3" fontId="0" fillId="2" borderId="0" xfId="0" applyNumberFormat="1" applyFill="1"/>
    <xf numFmtId="3" fontId="0" fillId="0" borderId="0" xfId="0" applyNumberFormat="1"/>
    <xf numFmtId="3" fontId="0" fillId="3" borderId="0" xfId="0" applyNumberFormat="1" applyFill="1"/>
    <xf numFmtId="3" fontId="0" fillId="5" borderId="0" xfId="0" applyNumberFormat="1" applyFill="1"/>
    <xf numFmtId="3" fontId="0" fillId="0" borderId="1" xfId="0" applyNumberFormat="1" applyBorder="1"/>
    <xf numFmtId="3" fontId="0" fillId="4" borderId="0" xfId="0" applyNumberFormat="1" applyFill="1"/>
    <xf numFmtId="165" fontId="0" fillId="0" borderId="0" xfId="4" applyNumberFormat="1" applyFont="1"/>
    <xf numFmtId="0" fontId="0" fillId="0" borderId="0" xfId="0" applyAlignment="1">
      <alignment horizontal="center"/>
    </xf>
    <xf numFmtId="12" fontId="5" fillId="0" borderId="2" xfId="4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indent="1"/>
    </xf>
    <xf numFmtId="0" fontId="0" fillId="0" borderId="0" xfId="0" applyFont="1"/>
    <xf numFmtId="0" fontId="0" fillId="10" borderId="0" xfId="0" applyFont="1" applyFill="1" applyAlignment="1">
      <alignment horizontal="left"/>
    </xf>
    <xf numFmtId="0" fontId="0" fillId="9" borderId="0" xfId="0" applyFont="1" applyFill="1"/>
    <xf numFmtId="2" fontId="5" fillId="0" borderId="4" xfId="0" applyNumberFormat="1" applyFont="1" applyBorder="1" applyAlignment="1">
      <alignment horizontal="left"/>
    </xf>
    <xf numFmtId="0" fontId="5" fillId="0" borderId="3" xfId="0" applyFont="1" applyBorder="1" applyAlignment="1">
      <alignment vertical="center"/>
    </xf>
    <xf numFmtId="1" fontId="5" fillId="0" borderId="2" xfId="0" quotePrefix="1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0" fillId="0" borderId="7" xfId="0" applyFont="1" applyBorder="1"/>
    <xf numFmtId="0" fontId="0" fillId="0" borderId="0" xfId="0" applyAlignment="1">
      <alignment horizontal="right"/>
    </xf>
    <xf numFmtId="0" fontId="0" fillId="0" borderId="9" xfId="0" applyFont="1" applyBorder="1"/>
    <xf numFmtId="0" fontId="0" fillId="0" borderId="0" xfId="0" applyFont="1" applyAlignment="1">
      <alignment horizontal="center"/>
    </xf>
    <xf numFmtId="0" fontId="0" fillId="0" borderId="6" xfId="0" applyFont="1" applyBorder="1"/>
    <xf numFmtId="2" fontId="0" fillId="0" borderId="6" xfId="0" quotePrefix="1" applyNumberFormat="1" applyFont="1" applyBorder="1" applyAlignment="1">
      <alignment horizontal="center"/>
    </xf>
    <xf numFmtId="1" fontId="0" fillId="0" borderId="6" xfId="0" quotePrefix="1" applyNumberFormat="1" applyFont="1" applyBorder="1" applyAlignment="1">
      <alignment horizontal="center"/>
    </xf>
    <xf numFmtId="0" fontId="0" fillId="0" borderId="8" xfId="0" applyFont="1" applyBorder="1"/>
    <xf numFmtId="0" fontId="0" fillId="0" borderId="11" xfId="0" applyFont="1" applyFill="1" applyBorder="1"/>
    <xf numFmtId="2" fontId="0" fillId="0" borderId="8" xfId="0" quotePrefix="1" applyNumberFormat="1" applyFont="1" applyBorder="1" applyAlignment="1">
      <alignment horizontal="center"/>
    </xf>
    <xf numFmtId="1" fontId="0" fillId="0" borderId="8" xfId="0" quotePrefix="1" applyNumberFormat="1" applyFont="1" applyBorder="1" applyAlignment="1">
      <alignment horizontal="center"/>
    </xf>
    <xf numFmtId="2" fontId="0" fillId="0" borderId="10" xfId="0" quotePrefix="1" applyNumberFormat="1" applyFont="1" applyBorder="1" applyAlignment="1">
      <alignment horizontal="center"/>
    </xf>
    <xf numFmtId="0" fontId="0" fillId="0" borderId="7" xfId="0" applyFont="1" applyFill="1" applyBorder="1"/>
    <xf numFmtId="0" fontId="0" fillId="0" borderId="3" xfId="0" applyFont="1" applyBorder="1" applyAlignment="1">
      <alignment vertical="center" wrapText="1"/>
    </xf>
    <xf numFmtId="2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0" fontId="0" fillId="4" borderId="6" xfId="0" applyFont="1" applyFill="1" applyBorder="1" applyAlignment="1">
      <alignment horizontal="center" vertical="center"/>
    </xf>
    <xf numFmtId="9" fontId="0" fillId="4" borderId="6" xfId="1" applyFont="1" applyFill="1" applyBorder="1" applyAlignment="1">
      <alignment horizontal="center" vertical="center" wrapText="1"/>
    </xf>
    <xf numFmtId="9" fontId="5" fillId="4" borderId="5" xfId="1" applyFont="1" applyFill="1" applyBorder="1" applyAlignment="1">
      <alignment horizontal="center"/>
    </xf>
    <xf numFmtId="1" fontId="5" fillId="4" borderId="2" xfId="0" quotePrefix="1" applyNumberFormat="1" applyFont="1" applyFill="1" applyBorder="1" applyAlignment="1">
      <alignment horizontal="center"/>
    </xf>
    <xf numFmtId="0" fontId="0" fillId="11" borderId="6" xfId="0" applyFont="1" applyFill="1" applyBorder="1" applyAlignment="1">
      <alignment horizontal="center"/>
    </xf>
    <xf numFmtId="9" fontId="0" fillId="11" borderId="6" xfId="1" applyFont="1" applyFill="1" applyBorder="1" applyAlignment="1">
      <alignment horizontal="center" vertical="center" wrapText="1"/>
    </xf>
    <xf numFmtId="0" fontId="0" fillId="11" borderId="2" xfId="0" applyFont="1" applyFill="1" applyBorder="1" applyAlignment="1">
      <alignment horizontal="center"/>
    </xf>
    <xf numFmtId="9" fontId="5" fillId="11" borderId="5" xfId="1" applyFont="1" applyFill="1" applyBorder="1" applyAlignment="1">
      <alignment horizontal="center"/>
    </xf>
    <xf numFmtId="1" fontId="5" fillId="11" borderId="2" xfId="0" quotePrefix="1" applyNumberFormat="1" applyFont="1" applyFill="1" applyBorder="1" applyAlignment="1">
      <alignment horizontal="center"/>
    </xf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6" xfId="0" quotePrefix="1" applyFont="1" applyBorder="1"/>
    <xf numFmtId="0" fontId="6" fillId="0" borderId="0" xfId="0" quotePrefix="1" applyFont="1"/>
    <xf numFmtId="0" fontId="6" fillId="0" borderId="8" xfId="0" quotePrefix="1" applyFont="1" applyBorder="1"/>
    <xf numFmtId="0" fontId="6" fillId="0" borderId="11" xfId="0" quotePrefix="1" applyFont="1" applyBorder="1"/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quotePrefix="1" applyFont="1" applyBorder="1" applyAlignment="1">
      <alignment vertical="center" wrapText="1"/>
    </xf>
    <xf numFmtId="3" fontId="0" fillId="10" borderId="0" xfId="4" applyNumberFormat="1" applyFont="1" applyFill="1"/>
    <xf numFmtId="3" fontId="0" fillId="0" borderId="0" xfId="4" applyNumberFormat="1" applyFont="1"/>
    <xf numFmtId="3" fontId="0" fillId="9" borderId="0" xfId="4" applyNumberFormat="1" applyFont="1" applyFill="1"/>
    <xf numFmtId="37" fontId="0" fillId="0" borderId="0" xfId="4" applyNumberFormat="1" applyFont="1"/>
    <xf numFmtId="37" fontId="0" fillId="7" borderId="0" xfId="4" applyNumberFormat="1" applyFont="1" applyFill="1"/>
    <xf numFmtId="37" fontId="0" fillId="6" borderId="0" xfId="4" applyNumberFormat="1" applyFont="1" applyFill="1"/>
    <xf numFmtId="37" fontId="0" fillId="8" borderId="0" xfId="4" applyNumberFormat="1" applyFont="1" applyFill="1"/>
    <xf numFmtId="4" fontId="0" fillId="0" borderId="0" xfId="0" applyNumberFormat="1" applyAlignment="1">
      <alignment horizontal="center"/>
    </xf>
    <xf numFmtId="0" fontId="0" fillId="0" borderId="8" xfId="0" applyFont="1" applyFill="1" applyBorder="1"/>
    <xf numFmtId="0" fontId="0" fillId="0" borderId="7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7" xfId="0" applyFont="1" applyBorder="1" applyAlignment="1"/>
    <xf numFmtId="0" fontId="0" fillId="0" borderId="11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10" fillId="0" borderId="12" xfId="0" applyFont="1" applyBorder="1" applyAlignment="1">
      <alignment horizontal="left" indent="1"/>
    </xf>
    <xf numFmtId="1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 indent="1"/>
    </xf>
    <xf numFmtId="0" fontId="5" fillId="0" borderId="6" xfId="0" applyFont="1" applyBorder="1" applyAlignment="1">
      <alignment vertical="center" wrapText="1"/>
    </xf>
    <xf numFmtId="0" fontId="5" fillId="0" borderId="12" xfId="0" applyFont="1" applyBorder="1" applyAlignment="1">
      <alignment horizontal="left"/>
    </xf>
    <xf numFmtId="9" fontId="5" fillId="0" borderId="5" xfId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0" fillId="0" borderId="5" xfId="0" applyFont="1" applyBorder="1" applyAlignment="1">
      <alignment horizontal="left"/>
    </xf>
    <xf numFmtId="0" fontId="5" fillId="4" borderId="3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11" borderId="3" xfId="0" applyFont="1" applyFill="1" applyBorder="1" applyAlignment="1">
      <alignment horizontal="left"/>
    </xf>
    <xf numFmtId="0" fontId="5" fillId="11" borderId="5" xfId="0" applyFont="1" applyFill="1" applyBorder="1" applyAlignment="1">
      <alignment horizontal="left"/>
    </xf>
    <xf numFmtId="0" fontId="5" fillId="11" borderId="4" xfId="0" applyFont="1" applyFill="1" applyBorder="1" applyAlignment="1">
      <alignment horizontal="left"/>
    </xf>
  </cellXfs>
  <cellStyles count="5">
    <cellStyle name="Comma" xfId="4" builtinId="3"/>
    <cellStyle name="Comma 2" xfId="3" xr:uid="{00000000-0005-0000-0000-000001000000}"/>
    <cellStyle name="Normal" xfId="0" builtinId="0"/>
    <cellStyle name="Normal 2" xfId="2" xr:uid="{00000000-0005-0000-0000-000004000000}"/>
    <cellStyle name="Percent" xfId="1" builtinId="5"/>
  </cellStyles>
  <dxfs count="0"/>
  <tableStyles count="0" defaultTableStyle="TableStyleMedium9" defaultPivotStyle="PivotStyleLight16"/>
  <colors>
    <mruColors>
      <color rgb="FF2373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184150</xdr:colOff>
          <xdr:row>2</xdr:row>
          <xdr:rowOff>38100</xdr:rowOff>
        </xdr:from>
        <xdr:to>
          <xdr:col>5</xdr:col>
          <xdr:colOff>590550</xdr:colOff>
          <xdr:row>4</xdr:row>
          <xdr:rowOff>0</xdr:rowOff>
        </xdr:to>
        <xdr:sp macro="" textlink="">
          <xdr:nvSpPr>
            <xdr:cNvPr id="1025" name="Button 1" descr="Clea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2038350</xdr:colOff>
      <xdr:row>1</xdr:row>
      <xdr:rowOff>12700</xdr:rowOff>
    </xdr:from>
    <xdr:to>
      <xdr:col>4</xdr:col>
      <xdr:colOff>2813</xdr:colOff>
      <xdr:row>3</xdr:row>
      <xdr:rowOff>25401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4950" y="196850"/>
          <a:ext cx="2587263" cy="381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1</xdr:row>
      <xdr:rowOff>6350</xdr:rowOff>
    </xdr:from>
    <xdr:to>
      <xdr:col>4</xdr:col>
      <xdr:colOff>59963</xdr:colOff>
      <xdr:row>3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00" y="190500"/>
          <a:ext cx="2587263" cy="3810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6217457</xdr:colOff>
      <xdr:row>0</xdr:row>
      <xdr:rowOff>222248</xdr:rowOff>
    </xdr:from>
    <xdr:to>
      <xdr:col>6</xdr:col>
      <xdr:colOff>25845</xdr:colOff>
      <xdr:row>0</xdr:row>
      <xdr:rowOff>603249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6707" y="222248"/>
          <a:ext cx="2587263" cy="381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I20"/>
  <sheetViews>
    <sheetView showGridLines="0" zoomScale="80" zoomScaleNormal="8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17" sqref="D17"/>
    </sheetView>
  </sheetViews>
  <sheetFormatPr defaultRowHeight="14.5" outlineLevelCol="1" x14ac:dyDescent="0.35"/>
  <cols>
    <col min="1" max="1" width="12.1796875" customWidth="1"/>
    <col min="2" max="2" width="6.7265625" customWidth="1"/>
    <col min="3" max="3" width="44.81640625" bestFit="1" customWidth="1"/>
    <col min="4" max="4" width="71.54296875" style="62" customWidth="1"/>
    <col min="5" max="5" width="3.453125" bestFit="1" customWidth="1"/>
    <col min="6" max="6" width="15.81640625" customWidth="1"/>
    <col min="7" max="7" width="3.81640625" customWidth="1"/>
    <col min="8" max="8" width="15.81640625" customWidth="1"/>
    <col min="9" max="9" width="3.81640625" customWidth="1"/>
    <col min="10" max="10" width="15.81640625" customWidth="1"/>
    <col min="11" max="11" width="4.54296875" customWidth="1"/>
    <col min="12" max="12" width="15.81640625" customWidth="1"/>
    <col min="13" max="13" width="3.453125" bestFit="1" customWidth="1"/>
    <col min="14" max="14" width="15.81640625" customWidth="1"/>
    <col min="15" max="15" width="3.453125" bestFit="1" customWidth="1"/>
    <col min="16" max="16" width="15.81640625" customWidth="1"/>
    <col min="17" max="17" width="3.453125" bestFit="1" customWidth="1"/>
    <col min="18" max="18" width="15.81640625" customWidth="1"/>
    <col min="19" max="19" width="3.453125" bestFit="1" customWidth="1"/>
    <col min="20" max="20" width="15.81640625" customWidth="1"/>
    <col min="21" max="21" width="3.453125" bestFit="1" customWidth="1"/>
    <col min="22" max="22" width="15.81640625" customWidth="1"/>
    <col min="23" max="23" width="2.26953125" bestFit="1" customWidth="1"/>
    <col min="24" max="24" width="15.81640625" customWidth="1"/>
    <col min="25" max="34" width="9.1796875" hidden="1" customWidth="1" outlineLevel="1"/>
    <col min="35" max="35" width="9.1796875" collapsed="1"/>
  </cols>
  <sheetData>
    <row r="1" spans="1:24" x14ac:dyDescent="0.35">
      <c r="A1" s="13" t="s">
        <v>45</v>
      </c>
      <c r="B1" s="29"/>
      <c r="C1" s="29"/>
      <c r="D1" s="70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pans="1:24" x14ac:dyDescent="0.35">
      <c r="A2" s="29" t="s">
        <v>0</v>
      </c>
      <c r="B2" s="27" t="str">
        <f>IF(ISBLANK('Input Balance Sheet'!B2),"",'Input Balance Sheet'!B2)</f>
        <v>Sample Company</v>
      </c>
      <c r="C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35">
      <c r="A3" s="29" t="s">
        <v>34</v>
      </c>
      <c r="B3" s="27" t="str">
        <f>IF(ISBLANK('Input Balance Sheet'!B3),"",'Input Balance Sheet'!B3)</f>
        <v>696 Fraud Street</v>
      </c>
      <c r="C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x14ac:dyDescent="0.35">
      <c r="A4" s="29" t="s">
        <v>35</v>
      </c>
      <c r="B4" s="27" t="str">
        <f>IF(ISBLANK('Input Balance Sheet'!B4),"",'Input Balance Sheet'!B4)</f>
        <v>Oil Garden</v>
      </c>
      <c r="C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 spans="1:24" x14ac:dyDescent="0.35">
      <c r="A5" s="29" t="s">
        <v>36</v>
      </c>
      <c r="B5" s="27">
        <f>IF(ISBLANK('Input Balance Sheet'!B5),"",'Input Balance Sheet'!B5)</f>
        <v>12345</v>
      </c>
      <c r="C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x14ac:dyDescent="0.35">
      <c r="A6" s="29" t="s">
        <v>37</v>
      </c>
      <c r="B6" s="27" t="str">
        <f>IF(ISBLANK('Input Balance Sheet'!B6),"",'Input Balance Sheet'!B6)</f>
        <v>Tax Haven</v>
      </c>
      <c r="C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4.5" customHeight="1" x14ac:dyDescent="0.35">
      <c r="A7" s="29"/>
      <c r="B7" s="27"/>
      <c r="C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x14ac:dyDescent="0.35">
      <c r="A8" s="29"/>
      <c r="B8" s="33" t="s">
        <v>20</v>
      </c>
      <c r="C8" s="49"/>
      <c r="D8" s="63"/>
      <c r="E8" s="94" t="s">
        <v>9</v>
      </c>
      <c r="F8" s="95"/>
      <c r="G8" s="94" t="s">
        <v>10</v>
      </c>
      <c r="H8" s="95"/>
      <c r="I8" s="94" t="s">
        <v>11</v>
      </c>
      <c r="J8" s="95"/>
      <c r="K8" s="94" t="s">
        <v>12</v>
      </c>
      <c r="L8" s="95"/>
      <c r="M8" s="94" t="s">
        <v>13</v>
      </c>
      <c r="N8" s="95"/>
      <c r="O8" s="94" t="s">
        <v>17</v>
      </c>
      <c r="P8" s="95"/>
      <c r="Q8" s="94" t="s">
        <v>14</v>
      </c>
      <c r="R8" s="95"/>
      <c r="S8" s="94" t="s">
        <v>15</v>
      </c>
      <c r="T8" s="95"/>
      <c r="U8" s="94" t="s">
        <v>16</v>
      </c>
      <c r="V8" s="95"/>
      <c r="W8" s="94" t="s">
        <v>4</v>
      </c>
      <c r="X8" s="95"/>
    </row>
    <row r="9" spans="1:24" x14ac:dyDescent="0.35">
      <c r="A9" s="29"/>
      <c r="B9" s="40"/>
      <c r="C9" s="38" t="s">
        <v>18</v>
      </c>
      <c r="D9" s="64" t="s">
        <v>38</v>
      </c>
      <c r="E9" s="50" t="s">
        <v>7</v>
      </c>
      <c r="F9" s="50">
        <v>0.1</v>
      </c>
      <c r="G9" s="50" t="s">
        <v>7</v>
      </c>
      <c r="H9" s="50">
        <v>0.2</v>
      </c>
      <c r="I9" s="50" t="s">
        <v>7</v>
      </c>
      <c r="J9" s="50">
        <v>0.3</v>
      </c>
      <c r="K9" s="50" t="s">
        <v>7</v>
      </c>
      <c r="L9" s="50">
        <v>0.4</v>
      </c>
      <c r="M9" s="50" t="s">
        <v>7</v>
      </c>
      <c r="N9" s="50">
        <v>0.5</v>
      </c>
      <c r="O9" s="50" t="s">
        <v>7</v>
      </c>
      <c r="P9" s="50">
        <v>0.6</v>
      </c>
      <c r="Q9" s="50" t="s">
        <v>7</v>
      </c>
      <c r="R9" s="50">
        <v>0.7</v>
      </c>
      <c r="S9" s="50" t="s">
        <v>7</v>
      </c>
      <c r="T9" s="50">
        <v>0.8</v>
      </c>
      <c r="U9" s="50" t="s">
        <v>7</v>
      </c>
      <c r="V9" s="50">
        <v>0.9</v>
      </c>
      <c r="W9" s="50" t="s">
        <v>5</v>
      </c>
      <c r="X9" s="50">
        <v>0.9</v>
      </c>
    </row>
    <row r="10" spans="1:24" x14ac:dyDescent="0.35">
      <c r="A10" s="29"/>
      <c r="B10" s="43"/>
      <c r="C10" s="44" t="s">
        <v>19</v>
      </c>
      <c r="D10" s="65" t="s">
        <v>39</v>
      </c>
      <c r="E10" s="51" t="s">
        <v>8</v>
      </c>
      <c r="F10" s="51">
        <v>0.45</v>
      </c>
      <c r="G10" s="51" t="s">
        <v>8</v>
      </c>
      <c r="H10" s="51">
        <v>0.4</v>
      </c>
      <c r="I10" s="51" t="s">
        <v>8</v>
      </c>
      <c r="J10" s="51">
        <v>0.35</v>
      </c>
      <c r="K10" s="51" t="s">
        <v>8</v>
      </c>
      <c r="L10" s="51">
        <v>0.3</v>
      </c>
      <c r="M10" s="51" t="s">
        <v>8</v>
      </c>
      <c r="N10" s="51">
        <v>0.25</v>
      </c>
      <c r="O10" s="51" t="s">
        <v>8</v>
      </c>
      <c r="P10" s="51">
        <v>0.2</v>
      </c>
      <c r="Q10" s="51" t="s">
        <v>8</v>
      </c>
      <c r="R10" s="51">
        <v>0.15</v>
      </c>
      <c r="S10" s="51" t="s">
        <v>8</v>
      </c>
      <c r="T10" s="51">
        <v>0.1</v>
      </c>
      <c r="U10" s="51" t="s">
        <v>8</v>
      </c>
      <c r="V10" s="51">
        <v>0.05</v>
      </c>
      <c r="W10" s="51" t="s">
        <v>6</v>
      </c>
      <c r="X10" s="51">
        <v>0.05</v>
      </c>
    </row>
    <row r="11" spans="1:24" x14ac:dyDescent="0.35">
      <c r="A11" s="29"/>
      <c r="B11" s="96" t="s">
        <v>21</v>
      </c>
      <c r="C11" s="97"/>
      <c r="D11" s="97"/>
      <c r="E11" s="3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</row>
    <row r="12" spans="1:24" x14ac:dyDescent="0.35">
      <c r="A12" s="29"/>
      <c r="B12" s="43"/>
      <c r="C12" s="36" t="s">
        <v>24</v>
      </c>
      <c r="D12" s="64" t="s">
        <v>113</v>
      </c>
      <c r="E12" s="51" t="s">
        <v>8</v>
      </c>
      <c r="F12" s="51">
        <v>16</v>
      </c>
      <c r="G12" s="51" t="s">
        <v>8</v>
      </c>
      <c r="H12" s="51">
        <v>14</v>
      </c>
      <c r="I12" s="51" t="s">
        <v>8</v>
      </c>
      <c r="J12" s="51">
        <v>12</v>
      </c>
      <c r="K12" s="51" t="s">
        <v>8</v>
      </c>
      <c r="L12" s="51">
        <v>10</v>
      </c>
      <c r="M12" s="51" t="s">
        <v>8</v>
      </c>
      <c r="N12" s="51">
        <v>8</v>
      </c>
      <c r="O12" s="51" t="s">
        <v>8</v>
      </c>
      <c r="P12" s="51">
        <v>6</v>
      </c>
      <c r="Q12" s="51" t="s">
        <v>8</v>
      </c>
      <c r="R12" s="51">
        <v>4</v>
      </c>
      <c r="S12" s="51" t="s">
        <v>8</v>
      </c>
      <c r="T12" s="51">
        <v>2</v>
      </c>
      <c r="U12" s="51" t="s">
        <v>8</v>
      </c>
      <c r="V12" s="51">
        <v>0</v>
      </c>
      <c r="W12" s="51" t="s">
        <v>6</v>
      </c>
      <c r="X12" s="51">
        <v>0</v>
      </c>
    </row>
    <row r="13" spans="1:24" x14ac:dyDescent="0.35">
      <c r="A13" s="29"/>
      <c r="B13" s="43"/>
      <c r="C13" s="36" t="s">
        <v>25</v>
      </c>
      <c r="D13" s="66" t="s">
        <v>40</v>
      </c>
      <c r="E13" s="51" t="s">
        <v>8</v>
      </c>
      <c r="F13" s="51">
        <v>0.9</v>
      </c>
      <c r="G13" s="51" t="s">
        <v>8</v>
      </c>
      <c r="H13" s="51">
        <v>0.8</v>
      </c>
      <c r="I13" s="51" t="s">
        <v>8</v>
      </c>
      <c r="J13" s="51">
        <v>0.7</v>
      </c>
      <c r="K13" s="51" t="s">
        <v>8</v>
      </c>
      <c r="L13" s="51">
        <v>0.6</v>
      </c>
      <c r="M13" s="51" t="s">
        <v>8</v>
      </c>
      <c r="N13" s="51">
        <v>0.5</v>
      </c>
      <c r="O13" s="51" t="s">
        <v>8</v>
      </c>
      <c r="P13" s="51">
        <v>0.4</v>
      </c>
      <c r="Q13" s="51" t="s">
        <v>8</v>
      </c>
      <c r="R13" s="51">
        <v>0.3</v>
      </c>
      <c r="S13" s="51" t="s">
        <v>8</v>
      </c>
      <c r="T13" s="51">
        <v>0.2</v>
      </c>
      <c r="U13" s="51" t="s">
        <v>8</v>
      </c>
      <c r="V13" s="51">
        <v>0.1</v>
      </c>
      <c r="W13" s="51" t="s">
        <v>6</v>
      </c>
      <c r="X13" s="51">
        <v>0.1</v>
      </c>
    </row>
    <row r="14" spans="1:24" x14ac:dyDescent="0.35">
      <c r="A14" s="29"/>
      <c r="B14" s="36"/>
      <c r="C14" s="48" t="s">
        <v>2</v>
      </c>
      <c r="D14" s="66" t="s">
        <v>41</v>
      </c>
      <c r="E14" s="51" t="s">
        <v>8</v>
      </c>
      <c r="F14" s="51">
        <v>1.3</v>
      </c>
      <c r="G14" s="51" t="s">
        <v>8</v>
      </c>
      <c r="H14" s="51">
        <v>1.2</v>
      </c>
      <c r="I14" s="51" t="s">
        <v>8</v>
      </c>
      <c r="J14" s="51">
        <v>1.1000000000000001</v>
      </c>
      <c r="K14" s="51" t="s">
        <v>8</v>
      </c>
      <c r="L14" s="51">
        <v>1</v>
      </c>
      <c r="M14" s="51" t="s">
        <v>8</v>
      </c>
      <c r="N14" s="51">
        <v>0.9</v>
      </c>
      <c r="O14" s="51" t="s">
        <v>8</v>
      </c>
      <c r="P14" s="51">
        <v>0.8</v>
      </c>
      <c r="Q14" s="51" t="s">
        <v>8</v>
      </c>
      <c r="R14" s="51">
        <v>0.7</v>
      </c>
      <c r="S14" s="51" t="s">
        <v>8</v>
      </c>
      <c r="T14" s="51">
        <v>0.6</v>
      </c>
      <c r="U14" s="51" t="s">
        <v>8</v>
      </c>
      <c r="V14" s="51">
        <v>0.5</v>
      </c>
      <c r="W14" s="51" t="s">
        <v>6</v>
      </c>
      <c r="X14" s="51">
        <v>0.5</v>
      </c>
    </row>
    <row r="15" spans="1:24" x14ac:dyDescent="0.35">
      <c r="A15" s="29"/>
      <c r="B15" s="36"/>
      <c r="C15" s="48" t="s">
        <v>3</v>
      </c>
      <c r="D15" s="67" t="s">
        <v>42</v>
      </c>
      <c r="E15" s="51" t="s">
        <v>8</v>
      </c>
      <c r="F15" s="51">
        <v>1.1000000000000001</v>
      </c>
      <c r="G15" s="51" t="s">
        <v>8</v>
      </c>
      <c r="H15" s="51">
        <v>1</v>
      </c>
      <c r="I15" s="51" t="s">
        <v>8</v>
      </c>
      <c r="J15" s="51">
        <v>0.9</v>
      </c>
      <c r="K15" s="51" t="s">
        <v>8</v>
      </c>
      <c r="L15" s="51">
        <v>0.8</v>
      </c>
      <c r="M15" s="51" t="s">
        <v>8</v>
      </c>
      <c r="N15" s="51">
        <v>0.7</v>
      </c>
      <c r="O15" s="51" t="s">
        <v>8</v>
      </c>
      <c r="P15" s="51">
        <v>0.6</v>
      </c>
      <c r="Q15" s="51" t="s">
        <v>8</v>
      </c>
      <c r="R15" s="51">
        <v>0.5</v>
      </c>
      <c r="S15" s="51" t="s">
        <v>8</v>
      </c>
      <c r="T15" s="51">
        <v>0.4</v>
      </c>
      <c r="U15" s="51" t="s">
        <v>8</v>
      </c>
      <c r="V15" s="51">
        <v>0.3</v>
      </c>
      <c r="W15" s="51" t="s">
        <v>6</v>
      </c>
      <c r="X15" s="51">
        <v>0.3</v>
      </c>
    </row>
    <row r="16" spans="1:24" x14ac:dyDescent="0.35">
      <c r="A16" s="29"/>
      <c r="B16" s="96" t="s">
        <v>22</v>
      </c>
      <c r="C16" s="97"/>
      <c r="D16" s="97"/>
      <c r="E16" s="3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</row>
    <row r="17" spans="1:24" x14ac:dyDescent="0.35">
      <c r="A17" s="29"/>
      <c r="B17" s="80"/>
      <c r="C17" s="82"/>
      <c r="D17" s="81"/>
      <c r="E17" s="94" t="s">
        <v>16</v>
      </c>
      <c r="F17" s="95"/>
      <c r="G17" s="94" t="s">
        <v>15</v>
      </c>
      <c r="H17" s="95"/>
      <c r="I17" s="94" t="s">
        <v>14</v>
      </c>
      <c r="J17" s="95"/>
      <c r="K17" s="94" t="s">
        <v>17</v>
      </c>
      <c r="L17" s="95"/>
      <c r="M17" s="94" t="s">
        <v>13</v>
      </c>
      <c r="N17" s="95"/>
      <c r="O17" s="94" t="s">
        <v>12</v>
      </c>
      <c r="P17" s="95"/>
      <c r="Q17" s="94" t="s">
        <v>11</v>
      </c>
      <c r="R17" s="95"/>
      <c r="S17" s="94" t="s">
        <v>10</v>
      </c>
      <c r="T17" s="95"/>
      <c r="U17" s="94" t="s">
        <v>9</v>
      </c>
      <c r="V17" s="95"/>
      <c r="W17" s="94" t="s">
        <v>4</v>
      </c>
      <c r="X17" s="95"/>
    </row>
    <row r="18" spans="1:24" x14ac:dyDescent="0.35">
      <c r="A18" s="29"/>
      <c r="B18" s="43"/>
      <c r="C18" s="36" t="s">
        <v>26</v>
      </c>
      <c r="D18" s="64" t="s">
        <v>43</v>
      </c>
      <c r="E18" s="51" t="s">
        <v>8</v>
      </c>
      <c r="F18" s="51">
        <v>0.18</v>
      </c>
      <c r="G18" s="51" t="s">
        <v>8</v>
      </c>
      <c r="H18" s="51">
        <v>0.16</v>
      </c>
      <c r="I18" s="51" t="s">
        <v>8</v>
      </c>
      <c r="J18" s="51">
        <v>0.14000000000000001</v>
      </c>
      <c r="K18" s="51" t="s">
        <v>8</v>
      </c>
      <c r="L18" s="51">
        <v>0.12</v>
      </c>
      <c r="M18" s="51" t="s">
        <v>8</v>
      </c>
      <c r="N18" s="51">
        <v>0.1</v>
      </c>
      <c r="O18" s="51" t="s">
        <v>8</v>
      </c>
      <c r="P18" s="51">
        <v>0.08</v>
      </c>
      <c r="Q18" s="51" t="s">
        <v>8</v>
      </c>
      <c r="R18" s="51">
        <v>0.06</v>
      </c>
      <c r="S18" s="51" t="s">
        <v>8</v>
      </c>
      <c r="T18" s="51">
        <v>0.04</v>
      </c>
      <c r="U18" s="51" t="s">
        <v>8</v>
      </c>
      <c r="V18" s="51">
        <v>0.02</v>
      </c>
      <c r="W18" s="51" t="s">
        <v>6</v>
      </c>
      <c r="X18" s="51">
        <v>0.02</v>
      </c>
    </row>
    <row r="19" spans="1:24" x14ac:dyDescent="0.35">
      <c r="A19" s="29"/>
      <c r="B19" s="43"/>
      <c r="C19" s="36" t="s">
        <v>27</v>
      </c>
      <c r="D19" s="66" t="s">
        <v>44</v>
      </c>
      <c r="E19" s="51" t="s">
        <v>8</v>
      </c>
      <c r="F19" s="51">
        <v>0.16</v>
      </c>
      <c r="G19" s="51" t="s">
        <v>8</v>
      </c>
      <c r="H19" s="51">
        <v>0.14000000000000001</v>
      </c>
      <c r="I19" s="51" t="s">
        <v>8</v>
      </c>
      <c r="J19" s="51">
        <v>0.12</v>
      </c>
      <c r="K19" s="51" t="s">
        <v>8</v>
      </c>
      <c r="L19" s="51">
        <v>0.1</v>
      </c>
      <c r="M19" s="51" t="s">
        <v>8</v>
      </c>
      <c r="N19" s="51">
        <v>0.08</v>
      </c>
      <c r="O19" s="51" t="s">
        <v>8</v>
      </c>
      <c r="P19" s="51">
        <v>0.06</v>
      </c>
      <c r="Q19" s="51" t="s">
        <v>8</v>
      </c>
      <c r="R19" s="51">
        <v>0.04</v>
      </c>
      <c r="S19" s="51" t="s">
        <v>8</v>
      </c>
      <c r="T19" s="51">
        <v>0.02</v>
      </c>
      <c r="U19" s="51" t="s">
        <v>8</v>
      </c>
      <c r="V19" s="51">
        <v>0</v>
      </c>
      <c r="W19" s="51" t="s">
        <v>6</v>
      </c>
      <c r="X19" s="51">
        <v>0</v>
      </c>
    </row>
    <row r="20" spans="1:24" x14ac:dyDescent="0.35">
      <c r="A20" s="29"/>
      <c r="B20" s="96" t="s">
        <v>23</v>
      </c>
      <c r="C20" s="97"/>
      <c r="D20" s="97"/>
      <c r="E20" s="3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</row>
  </sheetData>
  <mergeCells count="23">
    <mergeCell ref="B16:D16"/>
    <mergeCell ref="B20:D20"/>
    <mergeCell ref="M8:N8"/>
    <mergeCell ref="O8:P8"/>
    <mergeCell ref="E17:F17"/>
    <mergeCell ref="G17:H17"/>
    <mergeCell ref="I17:J17"/>
    <mergeCell ref="K17:L17"/>
    <mergeCell ref="M17:N17"/>
    <mergeCell ref="O17:P17"/>
    <mergeCell ref="E8:F8"/>
    <mergeCell ref="G8:H8"/>
    <mergeCell ref="I8:J8"/>
    <mergeCell ref="K8:L8"/>
    <mergeCell ref="B11:D11"/>
    <mergeCell ref="Q17:R17"/>
    <mergeCell ref="S17:T17"/>
    <mergeCell ref="U17:V17"/>
    <mergeCell ref="W17:X17"/>
    <mergeCell ref="Q8:R8"/>
    <mergeCell ref="S8:T8"/>
    <mergeCell ref="U8:V8"/>
    <mergeCell ref="W8:X8"/>
  </mergeCells>
  <pageMargins left="0.25" right="0" top="0.75" bottom="0.75" header="0.3" footer="0.3"/>
  <pageSetup paperSize="9" scale="3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6" tint="0.39997558519241921"/>
    <pageSetUpPr fitToPage="1"/>
  </sheetPr>
  <dimension ref="A1:D57"/>
  <sheetViews>
    <sheetView showGridLines="0" zoomScaleNormal="100" workbookViewId="0">
      <selection activeCell="G10" sqref="G10"/>
    </sheetView>
  </sheetViews>
  <sheetFormatPr defaultRowHeight="14.5" x14ac:dyDescent="0.35"/>
  <cols>
    <col min="1" max="1" width="10.54296875" bestFit="1" customWidth="1"/>
    <col min="2" max="2" width="38.7265625" bestFit="1" customWidth="1"/>
    <col min="3" max="4" width="13.7265625" customWidth="1"/>
    <col min="5" max="5" width="14.26953125" customWidth="1"/>
  </cols>
  <sheetData>
    <row r="1" spans="1:4" x14ac:dyDescent="0.35">
      <c r="A1" s="13" t="s">
        <v>45</v>
      </c>
      <c r="B1" s="2"/>
    </row>
    <row r="2" spans="1:4" x14ac:dyDescent="0.35">
      <c r="A2" s="29" t="s">
        <v>0</v>
      </c>
      <c r="B2" s="27" t="s">
        <v>150</v>
      </c>
    </row>
    <row r="3" spans="1:4" x14ac:dyDescent="0.35">
      <c r="A3" s="29" t="s">
        <v>34</v>
      </c>
      <c r="B3" s="27" t="s">
        <v>155</v>
      </c>
      <c r="C3" s="24"/>
      <c r="D3" s="24"/>
    </row>
    <row r="4" spans="1:4" x14ac:dyDescent="0.35">
      <c r="A4" s="29" t="s">
        <v>35</v>
      </c>
      <c r="B4" s="27" t="s">
        <v>156</v>
      </c>
      <c r="C4" s="78"/>
      <c r="D4" s="68"/>
    </row>
    <row r="5" spans="1:4" x14ac:dyDescent="0.35">
      <c r="A5" s="29" t="s">
        <v>36</v>
      </c>
      <c r="B5" s="27">
        <v>12345</v>
      </c>
    </row>
    <row r="6" spans="1:4" x14ac:dyDescent="0.35">
      <c r="A6" s="29" t="s">
        <v>37</v>
      </c>
      <c r="B6" s="27" t="s">
        <v>154</v>
      </c>
      <c r="C6" s="69" t="str">
        <f>IF(SUM(C29:D29)=SUM(C52:D52),"","Total Assets not equal Total Equitiy and Liabilities")</f>
        <v/>
      </c>
    </row>
    <row r="7" spans="1:4" ht="6" customHeight="1" x14ac:dyDescent="0.35"/>
    <row r="8" spans="1:4" x14ac:dyDescent="0.35">
      <c r="B8" s="10" t="s">
        <v>46</v>
      </c>
      <c r="C8" s="10" t="s">
        <v>47</v>
      </c>
      <c r="D8" s="10"/>
    </row>
    <row r="10" spans="1:4" x14ac:dyDescent="0.35">
      <c r="C10">
        <v>2018</v>
      </c>
      <c r="D10">
        <v>2017</v>
      </c>
    </row>
    <row r="11" spans="1:4" x14ac:dyDescent="0.35">
      <c r="B11" s="5" t="s">
        <v>48</v>
      </c>
      <c r="C11" s="17">
        <v>31750</v>
      </c>
      <c r="D11" s="17">
        <v>20522</v>
      </c>
    </row>
    <row r="12" spans="1:4" x14ac:dyDescent="0.35">
      <c r="B12" s="4" t="s">
        <v>49</v>
      </c>
      <c r="C12" s="18">
        <v>16677</v>
      </c>
      <c r="D12" s="18">
        <v>13164</v>
      </c>
    </row>
    <row r="13" spans="1:4" x14ac:dyDescent="0.35">
      <c r="B13" s="4" t="s">
        <v>50</v>
      </c>
      <c r="C13" s="18"/>
      <c r="D13" s="18"/>
    </row>
    <row r="14" spans="1:4" x14ac:dyDescent="0.35">
      <c r="B14" s="4" t="s">
        <v>51</v>
      </c>
      <c r="C14" s="18"/>
      <c r="D14" s="18"/>
    </row>
    <row r="15" spans="1:4" x14ac:dyDescent="0.35">
      <c r="B15" s="5" t="s">
        <v>52</v>
      </c>
      <c r="C15" s="17">
        <f>SUM(C12:C14)</f>
        <v>16677</v>
      </c>
      <c r="D15" s="17">
        <f t="shared" ref="D15" si="0">SUM(D12:D14)</f>
        <v>13164</v>
      </c>
    </row>
    <row r="16" spans="1:4" x14ac:dyDescent="0.35">
      <c r="B16" s="4" t="s">
        <v>53</v>
      </c>
      <c r="C16" s="18">
        <v>17174</v>
      </c>
      <c r="D16" s="18">
        <v>16047</v>
      </c>
    </row>
    <row r="17" spans="2:4" x14ac:dyDescent="0.35">
      <c r="B17" s="4" t="s">
        <v>110</v>
      </c>
      <c r="C17" s="18"/>
      <c r="D17" s="18"/>
    </row>
    <row r="18" spans="2:4" x14ac:dyDescent="0.35">
      <c r="B18" s="5" t="s">
        <v>54</v>
      </c>
      <c r="C18" s="17">
        <f>SUM(C16:C17)</f>
        <v>17174</v>
      </c>
      <c r="D18" s="17">
        <f t="shared" ref="D18" si="1">SUM(D16:D17)</f>
        <v>16047</v>
      </c>
    </row>
    <row r="19" spans="2:4" x14ac:dyDescent="0.35">
      <c r="B19" s="5" t="s">
        <v>55</v>
      </c>
      <c r="C19" s="17"/>
      <c r="D19" s="17"/>
    </row>
    <row r="20" spans="2:4" x14ac:dyDescent="0.35">
      <c r="B20" s="5" t="s">
        <v>104</v>
      </c>
      <c r="C20" s="17">
        <v>9500</v>
      </c>
      <c r="D20" s="17">
        <v>10464</v>
      </c>
    </row>
    <row r="21" spans="2:4" x14ac:dyDescent="0.35">
      <c r="B21" s="6" t="s">
        <v>56</v>
      </c>
      <c r="C21" s="19">
        <f>C11+C15+C18+C19+C20</f>
        <v>75101</v>
      </c>
      <c r="D21" s="19">
        <f>D11+D15+D18+D19+D20</f>
        <v>60197</v>
      </c>
    </row>
    <row r="22" spans="2:4" x14ac:dyDescent="0.35">
      <c r="B22" s="3" t="s">
        <v>57</v>
      </c>
      <c r="C22" s="18">
        <v>61797</v>
      </c>
      <c r="D22" s="18">
        <v>48866</v>
      </c>
    </row>
    <row r="23" spans="2:4" x14ac:dyDescent="0.35">
      <c r="B23" s="3" t="s">
        <v>58</v>
      </c>
      <c r="C23" s="18">
        <v>14548</v>
      </c>
      <c r="D23" s="18">
        <v>13350</v>
      </c>
    </row>
    <row r="24" spans="2:4" x14ac:dyDescent="0.35">
      <c r="B24" s="3" t="s">
        <v>59</v>
      </c>
      <c r="C24" s="18"/>
      <c r="D24" s="18"/>
    </row>
    <row r="25" spans="2:4" x14ac:dyDescent="0.35">
      <c r="B25" s="3" t="s">
        <v>60</v>
      </c>
      <c r="C25" s="18"/>
      <c r="D25" s="18"/>
    </row>
    <row r="26" spans="2:4" x14ac:dyDescent="0.35">
      <c r="B26" s="3" t="s">
        <v>61</v>
      </c>
      <c r="C26" s="18"/>
      <c r="D26" s="18"/>
    </row>
    <row r="27" spans="2:4" x14ac:dyDescent="0.35">
      <c r="B27" s="3" t="s">
        <v>105</v>
      </c>
      <c r="C27" s="18">
        <v>11202</v>
      </c>
      <c r="D27" s="18">
        <v>8897</v>
      </c>
    </row>
    <row r="28" spans="2:4" x14ac:dyDescent="0.35">
      <c r="B28" s="6" t="s">
        <v>62</v>
      </c>
      <c r="C28" s="19">
        <f>SUM(C22:C27)</f>
        <v>87547</v>
      </c>
      <c r="D28" s="19">
        <f>SUM(D22:D27)</f>
        <v>71113</v>
      </c>
    </row>
    <row r="29" spans="2:4" x14ac:dyDescent="0.35">
      <c r="B29" s="7" t="s">
        <v>63</v>
      </c>
      <c r="C29" s="20">
        <f>C21+C28</f>
        <v>162648</v>
      </c>
      <c r="D29" s="20">
        <f t="shared" ref="D29" si="2">D21+D28</f>
        <v>131310</v>
      </c>
    </row>
    <row r="30" spans="2:4" x14ac:dyDescent="0.35">
      <c r="B30" s="10"/>
      <c r="C30" s="21"/>
      <c r="D30" s="21"/>
    </row>
    <row r="31" spans="2:4" x14ac:dyDescent="0.35">
      <c r="C31" s="18"/>
      <c r="D31" s="18"/>
    </row>
    <row r="32" spans="2:4" x14ac:dyDescent="0.35">
      <c r="B32" s="3" t="s">
        <v>64</v>
      </c>
      <c r="C32" s="18"/>
      <c r="D32" s="18"/>
    </row>
    <row r="33" spans="2:4" x14ac:dyDescent="0.35">
      <c r="B33" s="3" t="s">
        <v>65</v>
      </c>
      <c r="C33" s="18">
        <v>26791</v>
      </c>
      <c r="D33" s="18">
        <v>21389</v>
      </c>
    </row>
    <row r="34" spans="2:4" x14ac:dyDescent="0.35">
      <c r="B34" s="3" t="s">
        <v>66</v>
      </c>
      <c r="C34" s="18">
        <v>19625</v>
      </c>
      <c r="D34" s="18">
        <v>8636</v>
      </c>
    </row>
    <row r="35" spans="2:4" x14ac:dyDescent="0.35">
      <c r="B35" s="3" t="s">
        <v>67</v>
      </c>
      <c r="C35" s="18">
        <f>43549-46416</f>
        <v>-2867</v>
      </c>
      <c r="D35" s="18">
        <f>27709-30025</f>
        <v>-2316</v>
      </c>
    </row>
    <row r="36" spans="2:4" x14ac:dyDescent="0.35">
      <c r="B36" s="9" t="s">
        <v>68</v>
      </c>
      <c r="C36" s="22">
        <f>SUM(C32:C35)</f>
        <v>43549</v>
      </c>
      <c r="D36" s="22">
        <f t="shared" ref="D36" si="3">SUM(D32:D35)</f>
        <v>27709</v>
      </c>
    </row>
    <row r="37" spans="2:4" x14ac:dyDescent="0.35">
      <c r="B37" s="3" t="s">
        <v>69</v>
      </c>
      <c r="C37" s="18">
        <v>1</v>
      </c>
      <c r="D37" s="18">
        <v>1</v>
      </c>
    </row>
    <row r="38" spans="2:4" x14ac:dyDescent="0.35">
      <c r="B38" s="3" t="s">
        <v>70</v>
      </c>
      <c r="C38" s="18">
        <v>38192</v>
      </c>
      <c r="D38" s="18">
        <v>34616</v>
      </c>
    </row>
    <row r="39" spans="2:4" x14ac:dyDescent="0.35">
      <c r="B39" s="3" t="s">
        <v>102</v>
      </c>
      <c r="C39" s="18"/>
      <c r="D39" s="18"/>
    </row>
    <row r="40" spans="2:4" x14ac:dyDescent="0.35">
      <c r="B40" s="3" t="s">
        <v>71</v>
      </c>
      <c r="C40" s="18"/>
      <c r="D40" s="18"/>
    </row>
    <row r="41" spans="2:4" x14ac:dyDescent="0.35">
      <c r="B41" s="3" t="s">
        <v>72</v>
      </c>
      <c r="C41" s="18"/>
      <c r="D41" s="18"/>
    </row>
    <row r="42" spans="2:4" x14ac:dyDescent="0.35">
      <c r="B42" s="3" t="s">
        <v>73</v>
      </c>
      <c r="C42" s="18"/>
      <c r="D42" s="18"/>
    </row>
    <row r="43" spans="2:4" x14ac:dyDescent="0.35">
      <c r="B43" s="3" t="s">
        <v>74</v>
      </c>
      <c r="C43" s="18">
        <v>23663</v>
      </c>
      <c r="D43" s="18">
        <v>18170</v>
      </c>
    </row>
    <row r="44" spans="2:4" x14ac:dyDescent="0.35">
      <c r="B44" s="3" t="s">
        <v>106</v>
      </c>
      <c r="C44" s="18">
        <v>6536</v>
      </c>
      <c r="D44" s="18">
        <v>5097</v>
      </c>
    </row>
    <row r="45" spans="2:4" x14ac:dyDescent="0.35">
      <c r="B45" s="9" t="s">
        <v>75</v>
      </c>
      <c r="C45" s="22">
        <f>SUM(C37:C44)</f>
        <v>68392</v>
      </c>
      <c r="D45" s="22">
        <f>SUM(D37:D44)</f>
        <v>57884</v>
      </c>
    </row>
    <row r="46" spans="2:4" x14ac:dyDescent="0.35">
      <c r="B46" s="3" t="s">
        <v>76</v>
      </c>
      <c r="C46" s="18">
        <v>23494</v>
      </c>
      <c r="D46" s="18">
        <v>24742</v>
      </c>
    </row>
    <row r="47" spans="2:4" x14ac:dyDescent="0.35">
      <c r="B47" s="3" t="s">
        <v>77</v>
      </c>
      <c r="C47" s="18"/>
      <c r="D47" s="18"/>
    </row>
    <row r="48" spans="2:4" x14ac:dyDescent="0.35">
      <c r="B48" s="3" t="s">
        <v>78</v>
      </c>
      <c r="C48" s="18"/>
      <c r="D48" s="18"/>
    </row>
    <row r="49" spans="2:4" x14ac:dyDescent="0.35">
      <c r="B49" s="3" t="s">
        <v>79</v>
      </c>
      <c r="C49" s="18"/>
      <c r="D49" s="18"/>
    </row>
    <row r="50" spans="2:4" x14ac:dyDescent="0.35">
      <c r="B50" s="3" t="s">
        <v>107</v>
      </c>
      <c r="C50" s="18">
        <v>27213</v>
      </c>
      <c r="D50" s="18">
        <v>20975</v>
      </c>
    </row>
    <row r="51" spans="2:4" x14ac:dyDescent="0.35">
      <c r="B51" s="9" t="s">
        <v>80</v>
      </c>
      <c r="C51" s="22">
        <f>SUM(C46:C50)</f>
        <v>50707</v>
      </c>
      <c r="D51" s="22">
        <f>SUM(D46:D50)</f>
        <v>45717</v>
      </c>
    </row>
    <row r="52" spans="2:4" x14ac:dyDescent="0.35">
      <c r="B52" s="7" t="s">
        <v>81</v>
      </c>
      <c r="C52" s="20">
        <f t="shared" ref="C52:D52" si="4">SUM(C51,C45,C36)</f>
        <v>162648</v>
      </c>
      <c r="D52" s="20">
        <f t="shared" si="4"/>
        <v>131310</v>
      </c>
    </row>
    <row r="53" spans="2:4" x14ac:dyDescent="0.35">
      <c r="B53" s="10"/>
      <c r="C53" s="10"/>
      <c r="D53" s="10"/>
    </row>
    <row r="57" spans="2:4" x14ac:dyDescent="0.35">
      <c r="D57" s="18"/>
    </row>
  </sheetData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_xludf.Clear" altText="Clear">
                <anchor moveWithCells="1" sizeWithCells="1">
                  <from>
                    <xdr:col>4</xdr:col>
                    <xdr:colOff>184150</xdr:colOff>
                    <xdr:row>2</xdr:row>
                    <xdr:rowOff>38100</xdr:rowOff>
                  </from>
                  <to>
                    <xdr:col>5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7" tint="0.59999389629810485"/>
    <pageSetUpPr fitToPage="1"/>
  </sheetPr>
  <dimension ref="A1:D29"/>
  <sheetViews>
    <sheetView showGridLines="0" zoomScaleNormal="100" workbookViewId="0">
      <pane ySplit="9" topLeftCell="A10" activePane="bottomLeft" state="frozen"/>
      <selection pane="bottomLeft" activeCell="C2" sqref="C2"/>
    </sheetView>
  </sheetViews>
  <sheetFormatPr defaultRowHeight="14.5" x14ac:dyDescent="0.35"/>
  <cols>
    <col min="1" max="1" width="10.54296875" bestFit="1" customWidth="1"/>
    <col min="2" max="2" width="36.54296875" bestFit="1" customWidth="1"/>
    <col min="3" max="3" width="15" customWidth="1"/>
    <col min="4" max="4" width="16.81640625" bestFit="1" customWidth="1"/>
  </cols>
  <sheetData>
    <row r="1" spans="1:4" x14ac:dyDescent="0.35">
      <c r="A1" s="13" t="s">
        <v>45</v>
      </c>
    </row>
    <row r="2" spans="1:4" x14ac:dyDescent="0.35">
      <c r="A2" s="29" t="s">
        <v>0</v>
      </c>
      <c r="B2" s="27" t="str">
        <f>IF(ISBLANK('Input Balance Sheet'!B2),"",'Input Balance Sheet'!B2)</f>
        <v>Sample Company</v>
      </c>
    </row>
    <row r="3" spans="1:4" x14ac:dyDescent="0.35">
      <c r="A3" s="29" t="s">
        <v>34</v>
      </c>
      <c r="B3" s="27" t="str">
        <f>IF(ISBLANK('Input Balance Sheet'!B3),"",'Input Balance Sheet'!B3)</f>
        <v>696 Fraud Street</v>
      </c>
    </row>
    <row r="4" spans="1:4" x14ac:dyDescent="0.35">
      <c r="A4" s="29" t="s">
        <v>35</v>
      </c>
      <c r="B4" s="27" t="str">
        <f>IF(ISBLANK('Input Balance Sheet'!B4),"",'Input Balance Sheet'!B4)</f>
        <v>Oil Garden</v>
      </c>
    </row>
    <row r="5" spans="1:4" x14ac:dyDescent="0.35">
      <c r="A5" s="29" t="s">
        <v>36</v>
      </c>
      <c r="B5" s="27">
        <f>IF(ISBLANK('Input Balance Sheet'!B5),"",'Input Balance Sheet'!B5)</f>
        <v>12345</v>
      </c>
    </row>
    <row r="6" spans="1:4" x14ac:dyDescent="0.35">
      <c r="A6" s="29" t="s">
        <v>37</v>
      </c>
      <c r="B6" s="27" t="str">
        <f>IF(ISBLANK('Input Balance Sheet'!B6),"",'Input Balance Sheet'!B6)</f>
        <v>Tax Haven</v>
      </c>
    </row>
    <row r="8" spans="1:4" x14ac:dyDescent="0.35">
      <c r="B8" s="10" t="s">
        <v>103</v>
      </c>
      <c r="C8" s="10" t="s">
        <v>47</v>
      </c>
      <c r="D8" s="10"/>
    </row>
    <row r="9" spans="1:4" x14ac:dyDescent="0.35">
      <c r="C9" s="37">
        <f>'Input Balance Sheet'!C10</f>
        <v>2018</v>
      </c>
      <c r="D9" s="37">
        <f>'Input Balance Sheet'!D10</f>
        <v>2017</v>
      </c>
    </row>
    <row r="10" spans="1:4" x14ac:dyDescent="0.35">
      <c r="A10" s="2"/>
      <c r="B10" s="1" t="s">
        <v>82</v>
      </c>
      <c r="C10" s="74">
        <v>1232887</v>
      </c>
      <c r="D10" s="74">
        <v>177866</v>
      </c>
    </row>
    <row r="11" spans="1:4" x14ac:dyDescent="0.35">
      <c r="A11" s="2"/>
      <c r="B11" s="1" t="s">
        <v>84</v>
      </c>
      <c r="C11" s="74">
        <v>139156</v>
      </c>
      <c r="D11" s="74">
        <v>111934</v>
      </c>
    </row>
    <row r="12" spans="1:4" x14ac:dyDescent="0.35">
      <c r="A12" s="2"/>
      <c r="B12" s="11" t="s">
        <v>85</v>
      </c>
      <c r="C12" s="75">
        <f>C10-C11</f>
        <v>1093731</v>
      </c>
      <c r="D12" s="75">
        <f t="shared" ref="D12" si="0">D10-D11</f>
        <v>65932</v>
      </c>
    </row>
    <row r="13" spans="1:4" x14ac:dyDescent="0.35">
      <c r="A13" s="2"/>
      <c r="B13" s="1" t="s">
        <v>86</v>
      </c>
      <c r="C13" s="74">
        <v>13814</v>
      </c>
      <c r="D13" s="74">
        <v>10069</v>
      </c>
    </row>
    <row r="14" spans="1:4" x14ac:dyDescent="0.35">
      <c r="A14" s="2"/>
      <c r="B14" s="1" t="s">
        <v>87</v>
      </c>
      <c r="C14" s="74">
        <v>4336</v>
      </c>
      <c r="D14" s="74">
        <v>3674</v>
      </c>
    </row>
    <row r="15" spans="1:4" x14ac:dyDescent="0.35">
      <c r="B15" s="1" t="s">
        <v>88</v>
      </c>
      <c r="C15" s="74">
        <v>28837</v>
      </c>
      <c r="D15" s="74">
        <v>22620</v>
      </c>
    </row>
    <row r="16" spans="1:4" x14ac:dyDescent="0.35">
      <c r="B16" s="1" t="s">
        <v>90</v>
      </c>
      <c r="C16" s="74">
        <f>34027+296</f>
        <v>34323</v>
      </c>
      <c r="D16" s="74">
        <f>25249+214</f>
        <v>25463</v>
      </c>
    </row>
    <row r="17" spans="2:4" x14ac:dyDescent="0.35">
      <c r="B17" s="1" t="s">
        <v>83</v>
      </c>
      <c r="C17" s="74">
        <v>183</v>
      </c>
      <c r="D17" s="74">
        <v>-346</v>
      </c>
    </row>
    <row r="18" spans="2:4" x14ac:dyDescent="0.35">
      <c r="B18" s="1" t="s">
        <v>93</v>
      </c>
      <c r="C18" s="74"/>
      <c r="D18" s="74"/>
    </row>
    <row r="19" spans="2:4" x14ac:dyDescent="0.35">
      <c r="B19" s="1" t="s">
        <v>94</v>
      </c>
      <c r="C19" s="74">
        <v>-440</v>
      </c>
      <c r="D19" s="74">
        <v>-202</v>
      </c>
    </row>
    <row r="20" spans="2:4" x14ac:dyDescent="0.35">
      <c r="B20" s="1" t="s">
        <v>95</v>
      </c>
      <c r="C20" s="74">
        <v>1417</v>
      </c>
      <c r="D20" s="74">
        <v>848</v>
      </c>
    </row>
    <row r="21" spans="2:4" x14ac:dyDescent="0.35">
      <c r="B21" s="11" t="s">
        <v>91</v>
      </c>
      <c r="C21" s="75">
        <f>C12-SUM(C13:C20)</f>
        <v>1011261</v>
      </c>
      <c r="D21" s="75">
        <f>D12-SUM(D13:D20)</f>
        <v>3806</v>
      </c>
    </row>
    <row r="22" spans="2:4" x14ac:dyDescent="0.35">
      <c r="B22" s="1" t="s">
        <v>109</v>
      </c>
      <c r="C22" s="74"/>
      <c r="D22" s="74"/>
    </row>
    <row r="23" spans="2:4" x14ac:dyDescent="0.35">
      <c r="B23" s="8" t="s">
        <v>96</v>
      </c>
      <c r="C23" s="76">
        <f>-C22</f>
        <v>0</v>
      </c>
      <c r="D23" s="76">
        <f>-D22</f>
        <v>0</v>
      </c>
    </row>
    <row r="24" spans="2:4" x14ac:dyDescent="0.35">
      <c r="B24" s="1" t="s">
        <v>97</v>
      </c>
      <c r="C24" s="74">
        <v>1197</v>
      </c>
      <c r="D24" s="74">
        <v>769</v>
      </c>
    </row>
    <row r="25" spans="2:4" x14ac:dyDescent="0.35">
      <c r="B25" s="1" t="s">
        <v>98</v>
      </c>
      <c r="C25" s="74">
        <v>-9</v>
      </c>
      <c r="D25" s="74">
        <v>4</v>
      </c>
    </row>
    <row r="26" spans="2:4" x14ac:dyDescent="0.35">
      <c r="B26" s="8" t="s">
        <v>92</v>
      </c>
      <c r="C26" s="76">
        <f>C21+C23-C24-C25</f>
        <v>1010073</v>
      </c>
      <c r="D26" s="76">
        <f>D21+D23-D24-D25</f>
        <v>3033</v>
      </c>
    </row>
    <row r="27" spans="2:4" x14ac:dyDescent="0.35">
      <c r="B27" s="28" t="s">
        <v>89</v>
      </c>
      <c r="C27" s="74">
        <v>15341</v>
      </c>
      <c r="D27" s="74">
        <v>11478</v>
      </c>
    </row>
    <row r="28" spans="2:4" x14ac:dyDescent="0.35">
      <c r="B28" s="12" t="s">
        <v>111</v>
      </c>
      <c r="C28" s="77">
        <f>C26+C20+C24+C25+C27</f>
        <v>1028019</v>
      </c>
      <c r="D28" s="77">
        <f>D26+D20+D24+D25+D27</f>
        <v>16132</v>
      </c>
    </row>
    <row r="29" spans="2:4" x14ac:dyDescent="0.35">
      <c r="B29" s="12" t="s">
        <v>112</v>
      </c>
      <c r="C29" s="77">
        <f>C26+C20+C24+C25</f>
        <v>1012678</v>
      </c>
      <c r="D29" s="77">
        <f>D26+D20+D24+D25</f>
        <v>4654</v>
      </c>
    </row>
  </sheetData>
  <pageMargins left="0.7" right="0.7" top="0.75" bottom="0.75" header="0.3" footer="0.3"/>
  <pageSetup paperSize="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8" tint="0.59999389629810485"/>
    <pageSetUpPr fitToPage="1"/>
  </sheetPr>
  <dimension ref="A1:F47"/>
  <sheetViews>
    <sheetView showGridLines="0" tabSelected="1" zoomScale="80" zoomScaleNormal="80" workbookViewId="0"/>
  </sheetViews>
  <sheetFormatPr defaultRowHeight="14.5" x14ac:dyDescent="0.35"/>
  <cols>
    <col min="1" max="1" width="2.453125" customWidth="1"/>
    <col min="2" max="2" width="17.7265625" customWidth="1"/>
    <col min="3" max="3" width="39.26953125" bestFit="1" customWidth="1"/>
    <col min="4" max="4" width="101.7265625" style="24" customWidth="1"/>
    <col min="5" max="5" width="8.54296875" style="16" customWidth="1"/>
    <col min="6" max="6" width="15.453125" style="24" bestFit="1" customWidth="1"/>
  </cols>
  <sheetData>
    <row r="1" spans="1:6" ht="59" customHeight="1" x14ac:dyDescent="0.35">
      <c r="A1" s="29"/>
      <c r="B1" s="93" t="s">
        <v>118</v>
      </c>
      <c r="C1" s="29"/>
      <c r="D1" s="39"/>
      <c r="F1" s="39"/>
    </row>
    <row r="2" spans="1:6" ht="6.75" customHeight="1" x14ac:dyDescent="0.35">
      <c r="A2" s="29"/>
      <c r="B2" s="27"/>
      <c r="C2" s="29"/>
      <c r="D2" s="39"/>
      <c r="F2" s="39"/>
    </row>
    <row r="3" spans="1:6" x14ac:dyDescent="0.35">
      <c r="A3" s="29"/>
      <c r="B3" s="105" t="s">
        <v>152</v>
      </c>
      <c r="C3" s="106"/>
      <c r="D3" s="53" t="s">
        <v>31</v>
      </c>
      <c r="E3" s="54" t="s">
        <v>32</v>
      </c>
      <c r="F3" s="53" t="s">
        <v>1</v>
      </c>
    </row>
    <row r="4" spans="1:6" x14ac:dyDescent="0.35">
      <c r="A4" s="29"/>
      <c r="B4" s="40"/>
      <c r="C4" s="38" t="s">
        <v>18</v>
      </c>
      <c r="D4" s="41">
        <f>('Input Balance Sheet'!C45+'Input Balance Sheet'!C51)/'Input Balance Sheet'!C52</f>
        <v>0.732250012296493</v>
      </c>
      <c r="E4" s="14">
        <v>0.5</v>
      </c>
      <c r="F4" s="42">
        <f>IF(D4&lt;='Scoring Ranges'!F9,100,IF(D4&lt;='Scoring Ranges'!H9,90,IF(D4&lt;='Scoring Ranges'!J9,80,IF(D4&lt;='Scoring Ranges'!L9,70,IF(D4&lt;='Scoring Ranges'!N9,60,IF(D4&lt;='Scoring Ranges'!P9,50,IF(D4&lt;='Scoring Ranges'!R9,40,IF(D4&lt;='Scoring Ranges'!T9,30,IF(D4&lt;='Scoring Ranges'!V9,20,10)))))))))</f>
        <v>30</v>
      </c>
    </row>
    <row r="5" spans="1:6" x14ac:dyDescent="0.35">
      <c r="A5" s="29"/>
      <c r="B5" s="43"/>
      <c r="C5" s="44" t="s">
        <v>19</v>
      </c>
      <c r="D5" s="45">
        <f>'Cash Flow'!C18/('Input Balance Sheet'!C45+'Input Balance Sheet'!C51-'Input Balance Sheet'!C49)</f>
        <v>8.6461683137557834</v>
      </c>
      <c r="E5" s="15">
        <v>0.5</v>
      </c>
      <c r="F5" s="46">
        <f>IF(D5&gt;='Scoring Ranges'!F10,100,IF(D5&gt;='Scoring Ranges'!H10,90,IF(D5&gt;='Scoring Ranges'!J10,80,IF(D5&gt;='Scoring Ranges'!L10,70,IF(D5&gt;='Scoring Ranges'!N10,60,IF(D5&gt;='Scoring Ranges'!P10,50,IF(D5&gt;='Scoring Ranges'!R10,40,IF(D5&gt;='Scoring Ranges'!T10,30,IF(D5&gt;='Scoring Ranges'!V10,20,10)))))))))</f>
        <v>100</v>
      </c>
    </row>
    <row r="6" spans="1:6" x14ac:dyDescent="0.35">
      <c r="A6" s="29"/>
      <c r="B6" s="96" t="s">
        <v>21</v>
      </c>
      <c r="C6" s="97"/>
      <c r="D6" s="104"/>
      <c r="E6" s="25">
        <v>0.33333333333333331</v>
      </c>
      <c r="F6" s="34">
        <f>SUMPRODUCT(E4:E5,F4:F5)</f>
        <v>65</v>
      </c>
    </row>
    <row r="7" spans="1:6" x14ac:dyDescent="0.35">
      <c r="A7" s="29"/>
      <c r="B7" s="43"/>
      <c r="C7" s="40" t="s">
        <v>24</v>
      </c>
      <c r="D7" s="47">
        <f>('Input P&amp;L'!C29-('Input Balance Sheet'!C16-'Input Balance Sheet'!D16))/('Input P&amp;L'!C20+0.001)</f>
        <v>713.86752726356576</v>
      </c>
      <c r="E7" s="15">
        <v>0.25</v>
      </c>
      <c r="F7" s="46">
        <f>IF(D7&gt;='Scoring Ranges'!F12,100,IF(D7&gt;='Scoring Ranges'!H12,90,IF(D7&gt;='Scoring Ranges'!J12,80,IF(D7&gt;='Scoring Ranges'!L12,70,IF(D7&gt;='Scoring Ranges'!N12,60,IF(D7&gt;='Scoring Ranges'!P12,50,IF(D7&gt;='Scoring Ranges'!R12,40,IF(D7&gt;='Scoring Ranges'!T12,30,IF(D7&gt;='Scoring Ranges'!V12,20,10)))))))))</f>
        <v>100</v>
      </c>
    </row>
    <row r="8" spans="1:6" x14ac:dyDescent="0.35">
      <c r="A8" s="29"/>
      <c r="B8" s="43"/>
      <c r="C8" s="43" t="s">
        <v>25</v>
      </c>
      <c r="D8" s="47">
        <f>'Cash Flow'!C18/'Input Balance Sheet'!C45</f>
        <v>15.056585565563223</v>
      </c>
      <c r="E8" s="15">
        <v>0.25</v>
      </c>
      <c r="F8" s="46">
        <f>IF(D8&gt;='Scoring Ranges'!F13,100,IF(D8&gt;='Scoring Ranges'!H13,90,IF(D8&gt;='Scoring Ranges'!J13,80,IF(D8&gt;='Scoring Ranges'!L13,70,IF(D8&gt;='Scoring Ranges'!N13,60,IF(D8&gt;='Scoring Ranges'!P13,50,IF(D8&gt;='Scoring Ranges'!R13,40,IF(D8&gt;='Scoring Ranges'!T13,30,IF(D8&gt;='Scoring Ranges'!V13,20,10)))))))))</f>
        <v>100</v>
      </c>
    </row>
    <row r="9" spans="1:6" x14ac:dyDescent="0.35">
      <c r="A9" s="29"/>
      <c r="B9" s="36"/>
      <c r="C9" s="79" t="s">
        <v>2</v>
      </c>
      <c r="D9" s="47">
        <f>'Input Balance Sheet'!C21/'Input Balance Sheet'!C45</f>
        <v>1.0980962685694233</v>
      </c>
      <c r="E9" s="15">
        <v>0.25</v>
      </c>
      <c r="F9" s="46">
        <f>IF(D9&gt;='Scoring Ranges'!F14,100,IF(D9&gt;='Scoring Ranges'!H14,90,IF(D9&gt;='Scoring Ranges'!J14,80,IF(D9&gt;='Scoring Ranges'!L14,70,IF(D9&gt;='Scoring Ranges'!N14,60,IF(D9&gt;='Scoring Ranges'!P14,50,IF(D9&gt;='Scoring Ranges'!R14,40,IF(D9&gt;='Scoring Ranges'!T14,30,IF(D9&gt;='Scoring Ranges'!V14,20,10)))))))))</f>
        <v>70</v>
      </c>
    </row>
    <row r="10" spans="1:6" x14ac:dyDescent="0.35">
      <c r="A10" s="29"/>
      <c r="B10" s="36"/>
      <c r="C10" s="44" t="s">
        <v>3</v>
      </c>
      <c r="D10" s="47">
        <f>('Input Balance Sheet'!C21-'Input Balance Sheet'!C18)/'Input Balance Sheet'!C45</f>
        <v>0.84698502748859517</v>
      </c>
      <c r="E10" s="15">
        <v>0.25</v>
      </c>
      <c r="F10" s="46">
        <f>IF(D10&gt;='Scoring Ranges'!F15,100,IF(D10&gt;='Scoring Ranges'!H15,90,IF(D10&gt;='Scoring Ranges'!J15,80,IF(D10&gt;='Scoring Ranges'!L15,70,IF(D10&gt;='Scoring Ranges'!N15,60,IF(D10&gt;='Scoring Ranges'!P15,50,IF(D10&gt;='Scoring Ranges'!R15,40,IF(D10&gt;='Scoring Ranges'!T15,30,IF(D10&gt;='Scoring Ranges'!V15,20,10)))))))))</f>
        <v>70</v>
      </c>
    </row>
    <row r="11" spans="1:6" x14ac:dyDescent="0.35">
      <c r="A11" s="29"/>
      <c r="B11" s="96" t="s">
        <v>22</v>
      </c>
      <c r="C11" s="97"/>
      <c r="D11" s="104"/>
      <c r="E11" s="25">
        <v>0.33333333333333331</v>
      </c>
      <c r="F11" s="34">
        <f>SUMPRODUCT(E7:E10,F7:F10)</f>
        <v>85</v>
      </c>
    </row>
    <row r="12" spans="1:6" x14ac:dyDescent="0.35">
      <c r="A12" s="29"/>
      <c r="B12" s="43"/>
      <c r="C12" s="36" t="s">
        <v>108</v>
      </c>
      <c r="D12" s="45">
        <f>('Input P&amp;L'!C21-('Input Balance Sheet'!C16-'Input Balance Sheet'!D16))/'Input P&amp;L'!C10</f>
        <v>0.81932407430689103</v>
      </c>
      <c r="E12" s="15">
        <v>0.5</v>
      </c>
      <c r="F12" s="46">
        <f>IF(D12&gt;='Scoring Ranges'!F18,20,IF(D12&gt;='Scoring Ranges'!H18,30,IF(D12&gt;='Scoring Ranges'!J18,40,IF(D12&gt;='Scoring Ranges'!L18,50,IF(D12&gt;='Scoring Ranges'!N18,60,IF(D12&gt;='Scoring Ranges'!P18,70,IF(D12&gt;='Scoring Ranges'!R18,80,IF(D12&gt;='Scoring Ranges'!T18,90,IF(D12&gt;='Scoring Ranges'!V18,100,10)))))))))</f>
        <v>20</v>
      </c>
    </row>
    <row r="13" spans="1:6" x14ac:dyDescent="0.35">
      <c r="A13" s="29"/>
      <c r="B13" s="43"/>
      <c r="C13" s="36" t="s">
        <v>27</v>
      </c>
      <c r="D13" s="45">
        <f>'Input P&amp;L'!C26/'Input Balance Sheet'!C29</f>
        <v>6.2101778072893614</v>
      </c>
      <c r="E13" s="15">
        <v>0.5</v>
      </c>
      <c r="F13" s="46">
        <f>IF(D13&gt;='Scoring Ranges'!F19,20,IF(D13&gt;='Scoring Ranges'!H19,30,IF(D13&gt;='Scoring Ranges'!J19,40,IF(D13&gt;='Scoring Ranges'!L19,50,IF(D13&gt;='Scoring Ranges'!N19,60,IF(D13&gt;='Scoring Ranges'!P19,70,IF(D13&gt;='Scoring Ranges'!R19,80,IF(D13&gt;='Scoring Ranges'!T19,90,IF(D13&gt;='Scoring Ranges'!V19,100,10)))))))))</f>
        <v>20</v>
      </c>
    </row>
    <row r="14" spans="1:6" x14ac:dyDescent="0.35">
      <c r="A14" s="29"/>
      <c r="B14" s="96" t="s">
        <v>23</v>
      </c>
      <c r="C14" s="97"/>
      <c r="D14" s="104"/>
      <c r="E14" s="25">
        <v>0.33333333333333331</v>
      </c>
      <c r="F14" s="34">
        <f>SUMPRODUCT(E12:E13,F12:F13)</f>
        <v>20</v>
      </c>
    </row>
    <row r="15" spans="1:6" x14ac:dyDescent="0.35">
      <c r="A15" s="29"/>
      <c r="B15" s="101" t="s">
        <v>151</v>
      </c>
      <c r="C15" s="102"/>
      <c r="D15" s="103"/>
      <c r="E15" s="55">
        <f>E6+E11+E14</f>
        <v>1</v>
      </c>
      <c r="F15" s="56">
        <f>E6*F6+E11*F11+E14*F14</f>
        <v>56.666666666666664</v>
      </c>
    </row>
    <row r="16" spans="1:6" ht="8.25" customHeight="1" x14ac:dyDescent="0.35">
      <c r="A16" s="29"/>
      <c r="B16" s="29"/>
      <c r="C16" s="29"/>
      <c r="D16" s="39"/>
      <c r="F16" s="39"/>
    </row>
    <row r="17" spans="1:6" x14ac:dyDescent="0.35">
      <c r="A17" s="29"/>
      <c r="B17" s="107" t="s">
        <v>119</v>
      </c>
      <c r="C17" s="108"/>
      <c r="D17" s="57" t="s">
        <v>33</v>
      </c>
      <c r="E17" s="58" t="s">
        <v>32</v>
      </c>
      <c r="F17" s="59" t="s">
        <v>1</v>
      </c>
    </row>
    <row r="18" spans="1:6" x14ac:dyDescent="0.35">
      <c r="A18" s="29"/>
      <c r="B18" s="83"/>
      <c r="C18" s="89" t="s">
        <v>28</v>
      </c>
      <c r="D18" s="90" t="s">
        <v>128</v>
      </c>
      <c r="E18" s="91"/>
      <c r="F18" s="35">
        <f>50+SUM(F19:F26)</f>
        <v>70</v>
      </c>
    </row>
    <row r="19" spans="1:6" x14ac:dyDescent="0.35">
      <c r="A19" s="29"/>
      <c r="B19" s="83"/>
      <c r="C19" s="85"/>
      <c r="D19" s="86" t="s">
        <v>145</v>
      </c>
      <c r="E19" s="87" t="s">
        <v>121</v>
      </c>
      <c r="F19" s="87">
        <f>IF(ISBLANK(E19),"",IF(E19="Yes",5,IF(E19="No",-5,-1)))</f>
        <v>5</v>
      </c>
    </row>
    <row r="20" spans="1:6" x14ac:dyDescent="0.35">
      <c r="A20" s="29"/>
      <c r="B20" s="83"/>
      <c r="C20" s="85"/>
      <c r="D20" s="86" t="s">
        <v>146</v>
      </c>
      <c r="E20" s="87" t="s">
        <v>122</v>
      </c>
      <c r="F20" s="87">
        <f>IF(ISBLANK(E20),"",IF(E20="No",5,IF(E20="Yes",-5,-1)))</f>
        <v>5</v>
      </c>
    </row>
    <row r="21" spans="1:6" x14ac:dyDescent="0.35">
      <c r="A21" s="29"/>
      <c r="B21" s="83"/>
      <c r="C21" s="85"/>
      <c r="D21" s="86" t="s">
        <v>123</v>
      </c>
      <c r="E21" s="87" t="s">
        <v>122</v>
      </c>
      <c r="F21" s="87">
        <f>IF(ISBLANK(E21),"",IF(E21="No",5,IF(E21="Yes",-5,-1)))</f>
        <v>5</v>
      </c>
    </row>
    <row r="22" spans="1:6" x14ac:dyDescent="0.35">
      <c r="A22" s="29"/>
      <c r="B22" s="83"/>
      <c r="C22" s="85"/>
      <c r="D22" s="86" t="s">
        <v>120</v>
      </c>
      <c r="E22" s="87" t="s">
        <v>122</v>
      </c>
      <c r="F22" s="87">
        <f>IF(ISBLANK(E22),"",IF(E22="Yes",5,IF(E22="No",-5,-1)))</f>
        <v>-5</v>
      </c>
    </row>
    <row r="23" spans="1:6" x14ac:dyDescent="0.35">
      <c r="A23" s="29"/>
      <c r="B23" s="83"/>
      <c r="C23" s="85"/>
      <c r="D23" s="86" t="s">
        <v>124</v>
      </c>
      <c r="E23" s="87" t="s">
        <v>121</v>
      </c>
      <c r="F23" s="87">
        <f>IF(ISBLANK(E23),"",IF(E23="Yes",5,IF(E23="No",-5,-1)))</f>
        <v>5</v>
      </c>
    </row>
    <row r="24" spans="1:6" x14ac:dyDescent="0.35">
      <c r="A24" s="29"/>
      <c r="B24" s="83"/>
      <c r="C24" s="85"/>
      <c r="D24" s="86" t="s">
        <v>133</v>
      </c>
      <c r="E24" s="87" t="s">
        <v>122</v>
      </c>
      <c r="F24" s="87">
        <f>IF(ISBLANK(E24),"",IF(E24="Yes",5,IF(E24="No",-5,-1)))</f>
        <v>-5</v>
      </c>
    </row>
    <row r="25" spans="1:6" x14ac:dyDescent="0.35">
      <c r="A25" s="29"/>
      <c r="B25" s="83"/>
      <c r="C25" s="85"/>
      <c r="D25" s="86" t="s">
        <v>147</v>
      </c>
      <c r="E25" s="87" t="s">
        <v>121</v>
      </c>
      <c r="F25" s="87">
        <f>IF(ISBLANK(E25),"",IF(E25="Yes",5,IF(E25="No",-5,-1)))</f>
        <v>5</v>
      </c>
    </row>
    <row r="26" spans="1:6" x14ac:dyDescent="0.35">
      <c r="A26" s="29"/>
      <c r="B26" s="83"/>
      <c r="C26" s="85"/>
      <c r="D26" s="86" t="s">
        <v>148</v>
      </c>
      <c r="E26" s="87" t="s">
        <v>121</v>
      </c>
      <c r="F26" s="87">
        <f>IF(ISBLANK(E26),"",IF(E26="Yes",5,IF(E26="No",-5,-1)))</f>
        <v>5</v>
      </c>
    </row>
    <row r="27" spans="1:6" x14ac:dyDescent="0.35">
      <c r="A27" s="29"/>
      <c r="B27" s="83"/>
      <c r="C27" s="89" t="s">
        <v>29</v>
      </c>
      <c r="D27" s="90" t="s">
        <v>129</v>
      </c>
      <c r="E27" s="35"/>
      <c r="F27" s="35">
        <f>50+SUM(F28:F35)</f>
        <v>44</v>
      </c>
    </row>
    <row r="28" spans="1:6" x14ac:dyDescent="0.35">
      <c r="A28" s="29"/>
      <c r="B28" s="83"/>
      <c r="C28" s="85"/>
      <c r="D28" s="86" t="s">
        <v>126</v>
      </c>
      <c r="E28" s="87" t="s">
        <v>157</v>
      </c>
      <c r="F28" s="87">
        <f>IF(ISBLANK(E28),"",IF(E28="Yes",5,IF(E28="No",-5,-1)))</f>
        <v>-1</v>
      </c>
    </row>
    <row r="29" spans="1:6" x14ac:dyDescent="0.35">
      <c r="A29" s="29"/>
      <c r="B29" s="83"/>
      <c r="C29" s="85"/>
      <c r="D29" s="86" t="s">
        <v>130</v>
      </c>
      <c r="E29" s="87" t="s">
        <v>122</v>
      </c>
      <c r="F29" s="87">
        <f>IF(ISBLANK(E29),"",IF(E29="Yes",5,IF(E29="No",-5,-1)))</f>
        <v>-5</v>
      </c>
    </row>
    <row r="30" spans="1:6" x14ac:dyDescent="0.35">
      <c r="A30" s="29"/>
      <c r="B30" s="83"/>
      <c r="C30" s="85"/>
      <c r="D30" s="86" t="s">
        <v>134</v>
      </c>
      <c r="E30" s="87" t="s">
        <v>121</v>
      </c>
      <c r="F30" s="87">
        <f>IF(ISBLANK(E30),"",IF(E30="No",5,IF(E30="Yes",-5,-1)))</f>
        <v>-5</v>
      </c>
    </row>
    <row r="31" spans="1:6" x14ac:dyDescent="0.35">
      <c r="A31" s="29"/>
      <c r="B31" s="83"/>
      <c r="C31" s="85"/>
      <c r="D31" s="86" t="s">
        <v>131</v>
      </c>
      <c r="E31" s="87" t="s">
        <v>121</v>
      </c>
      <c r="F31" s="87">
        <f>IF(ISBLANK(E31),"",IF(E31="Yes",5,IF(E31="No",-5,-1)))</f>
        <v>5</v>
      </c>
    </row>
    <row r="32" spans="1:6" x14ac:dyDescent="0.35">
      <c r="A32" s="29"/>
      <c r="B32" s="83"/>
      <c r="C32" s="85"/>
      <c r="D32" s="86" t="s">
        <v>132</v>
      </c>
      <c r="E32" s="87" t="s">
        <v>122</v>
      </c>
      <c r="F32" s="87">
        <f>IF(ISBLANK(E32),"",IF(E32="Yes",5,IF(E32="No",-5,-1)))</f>
        <v>-5</v>
      </c>
    </row>
    <row r="33" spans="1:6" x14ac:dyDescent="0.35">
      <c r="A33" s="29"/>
      <c r="B33" s="83"/>
      <c r="C33" s="85"/>
      <c r="D33" s="86" t="s">
        <v>125</v>
      </c>
      <c r="E33" s="87" t="s">
        <v>122</v>
      </c>
      <c r="F33" s="87">
        <f>IF(ISBLANK(E33),"",IF(E33="No",5,IF(E33="Yes",-5,-1)))</f>
        <v>5</v>
      </c>
    </row>
    <row r="34" spans="1:6" x14ac:dyDescent="0.35">
      <c r="A34" s="29"/>
      <c r="B34" s="83"/>
      <c r="C34" s="85"/>
      <c r="D34" s="86" t="s">
        <v>153</v>
      </c>
      <c r="E34" s="87" t="s">
        <v>121</v>
      </c>
      <c r="F34" s="87">
        <f>IF(ISBLANK(E34),"",IF(E34="No",5,IF(E34="Yes",-5,-1)))</f>
        <v>-5</v>
      </c>
    </row>
    <row r="35" spans="1:6" x14ac:dyDescent="0.35">
      <c r="A35" s="29"/>
      <c r="B35" s="83"/>
      <c r="C35" s="85"/>
      <c r="D35" s="86" t="s">
        <v>127</v>
      </c>
      <c r="E35" s="87" t="s">
        <v>122</v>
      </c>
      <c r="F35" s="87">
        <f>IF(ISBLANK(E35),"",IF(E35="No",5,IF(E35="Yes",-5,-1)))</f>
        <v>5</v>
      </c>
    </row>
    <row r="36" spans="1:6" x14ac:dyDescent="0.35">
      <c r="A36" s="29"/>
      <c r="B36" s="83"/>
      <c r="C36" s="89" t="s">
        <v>30</v>
      </c>
      <c r="D36" s="90" t="s">
        <v>135</v>
      </c>
      <c r="E36" s="35"/>
      <c r="F36" s="35">
        <f>50+SUM(F37:F44)</f>
        <v>70</v>
      </c>
    </row>
    <row r="37" spans="1:6" x14ac:dyDescent="0.35">
      <c r="A37" s="29"/>
      <c r="B37" s="83"/>
      <c r="C37" s="85"/>
      <c r="D37" s="86" t="s">
        <v>136</v>
      </c>
      <c r="E37" s="87" t="s">
        <v>122</v>
      </c>
      <c r="F37" s="87">
        <f>IF(ISBLANK(E37),"",IF(E37="No",5,IF(E37="Yes",-5,-1)))</f>
        <v>5</v>
      </c>
    </row>
    <row r="38" spans="1:6" x14ac:dyDescent="0.35">
      <c r="A38" s="29"/>
      <c r="B38" s="83"/>
      <c r="C38" s="85"/>
      <c r="D38" s="86" t="s">
        <v>137</v>
      </c>
      <c r="E38" s="87" t="s">
        <v>121</v>
      </c>
      <c r="F38" s="87">
        <f>IF(ISBLANK(E38),"",IF(E38="Yes",5,IF(E38="No",-5,-1)))</f>
        <v>5</v>
      </c>
    </row>
    <row r="39" spans="1:6" x14ac:dyDescent="0.35">
      <c r="A39" s="29"/>
      <c r="B39" s="83"/>
      <c r="C39" s="85"/>
      <c r="D39" s="86" t="s">
        <v>140</v>
      </c>
      <c r="E39" s="87" t="s">
        <v>121</v>
      </c>
      <c r="F39" s="87">
        <f>IF(ISBLANK(E39),"",IF(E39="Yes",5,IF(E39="No",-5,-1)))</f>
        <v>5</v>
      </c>
    </row>
    <row r="40" spans="1:6" x14ac:dyDescent="0.35">
      <c r="A40" s="29"/>
      <c r="B40" s="83"/>
      <c r="C40" s="85"/>
      <c r="D40" s="86" t="s">
        <v>138</v>
      </c>
      <c r="E40" s="87" t="s">
        <v>122</v>
      </c>
      <c r="F40" s="87">
        <f t="shared" ref="F40:F44" si="0">IF(ISBLANK(E40),"",IF(E40="No",5,IF(E40="Yes",-5,-1)))</f>
        <v>5</v>
      </c>
    </row>
    <row r="41" spans="1:6" x14ac:dyDescent="0.35">
      <c r="A41" s="29"/>
      <c r="B41" s="83"/>
      <c r="C41" s="85"/>
      <c r="D41" s="86" t="s">
        <v>141</v>
      </c>
      <c r="E41" s="87" t="s">
        <v>122</v>
      </c>
      <c r="F41" s="87">
        <f>IF(ISBLANK(E41),"",IF(E41="Yes",5,IF(E41="No",-5,-1)))</f>
        <v>-5</v>
      </c>
    </row>
    <row r="42" spans="1:6" x14ac:dyDescent="0.35">
      <c r="A42" s="29"/>
      <c r="B42" s="83"/>
      <c r="C42" s="85"/>
      <c r="D42" s="86" t="s">
        <v>139</v>
      </c>
      <c r="E42" s="87" t="s">
        <v>122</v>
      </c>
      <c r="F42" s="87">
        <f t="shared" si="0"/>
        <v>5</v>
      </c>
    </row>
    <row r="43" spans="1:6" x14ac:dyDescent="0.35">
      <c r="A43" s="29"/>
      <c r="B43" s="83"/>
      <c r="C43" s="85"/>
      <c r="D43" s="86" t="s">
        <v>144</v>
      </c>
      <c r="E43" s="87" t="s">
        <v>122</v>
      </c>
      <c r="F43" s="87">
        <f t="shared" si="0"/>
        <v>5</v>
      </c>
    </row>
    <row r="44" spans="1:6" x14ac:dyDescent="0.35">
      <c r="A44" s="29"/>
      <c r="B44" s="83"/>
      <c r="C44" s="84"/>
      <c r="D44" s="88" t="s">
        <v>142</v>
      </c>
      <c r="E44" s="87" t="s">
        <v>122</v>
      </c>
      <c r="F44" s="87">
        <f>IF(ISBLANK(E44),"",IF(E44="Yes",5,IF(E44="No",-5,-1)))</f>
        <v>-5</v>
      </c>
    </row>
    <row r="45" spans="1:6" x14ac:dyDescent="0.35">
      <c r="A45" s="29"/>
      <c r="B45" s="107" t="s">
        <v>143</v>
      </c>
      <c r="C45" s="109"/>
      <c r="D45" s="108"/>
      <c r="E45" s="60"/>
      <c r="F45" s="61">
        <f>AVERAGE(F18,F27,F36)</f>
        <v>61.333333333333336</v>
      </c>
    </row>
    <row r="46" spans="1:6" ht="6.75" customHeight="1" x14ac:dyDescent="0.35">
      <c r="A46" s="29"/>
      <c r="B46" s="29"/>
      <c r="C46" s="29"/>
      <c r="D46" s="39"/>
      <c r="F46" s="39"/>
    </row>
    <row r="47" spans="1:6" x14ac:dyDescent="0.35">
      <c r="A47" s="29"/>
      <c r="B47" s="98" t="s">
        <v>149</v>
      </c>
      <c r="C47" s="99"/>
      <c r="D47" s="99"/>
      <c r="E47" s="100"/>
      <c r="F47" s="92">
        <f>1/((F15*0.5+F45*0.5)/50)</f>
        <v>0.84745762711864414</v>
      </c>
    </row>
  </sheetData>
  <mergeCells count="8">
    <mergeCell ref="B47:E47"/>
    <mergeCell ref="B15:D15"/>
    <mergeCell ref="B14:D14"/>
    <mergeCell ref="B3:C3"/>
    <mergeCell ref="B17:C17"/>
    <mergeCell ref="B11:D11"/>
    <mergeCell ref="B6:D6"/>
    <mergeCell ref="B45:D45"/>
  </mergeCells>
  <dataValidations count="1">
    <dataValidation type="list" allowBlank="1" showInputMessage="1" showErrorMessage="1" sqref="E19:E26 E28:E35 E37:E44" xr:uid="{6816C253-0D70-4FD1-ACCE-1B5EB58045C6}">
      <formula1>"Yes,No,Not Sure"</formula1>
    </dataValidation>
  </dataValidations>
  <pageMargins left="0.2" right="0" top="0.75" bottom="0.25" header="0.3" footer="0.3"/>
  <pageSetup paperSize="9" scale="7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C22"/>
  <sheetViews>
    <sheetView showGridLines="0" workbookViewId="0">
      <pane ySplit="9" topLeftCell="A10" activePane="bottomLeft" state="frozen"/>
      <selection pane="bottomLeft" activeCell="A10" sqref="A10"/>
    </sheetView>
  </sheetViews>
  <sheetFormatPr defaultRowHeight="14.5" x14ac:dyDescent="0.35"/>
  <cols>
    <col min="1" max="1" width="10.54296875" bestFit="1" customWidth="1"/>
    <col min="2" max="2" width="65" customWidth="1"/>
    <col min="3" max="3" width="15.1796875" customWidth="1"/>
  </cols>
  <sheetData>
    <row r="1" spans="1:3" x14ac:dyDescent="0.35">
      <c r="A1" s="13" t="s">
        <v>45</v>
      </c>
    </row>
    <row r="2" spans="1:3" x14ac:dyDescent="0.35">
      <c r="A2" s="29" t="s">
        <v>0</v>
      </c>
      <c r="B2" s="27" t="str">
        <f>IF(ISBLANK('Input Balance Sheet'!B2),"",'Input Balance Sheet'!B2)</f>
        <v>Sample Company</v>
      </c>
    </row>
    <row r="3" spans="1:3" x14ac:dyDescent="0.35">
      <c r="A3" s="29" t="s">
        <v>34</v>
      </c>
      <c r="B3" s="27" t="str">
        <f>IF(ISBLANK('Input Balance Sheet'!B3),"",'Input Balance Sheet'!B3)</f>
        <v>696 Fraud Street</v>
      </c>
    </row>
    <row r="4" spans="1:3" x14ac:dyDescent="0.35">
      <c r="A4" s="29" t="s">
        <v>35</v>
      </c>
      <c r="B4" s="27" t="str">
        <f>IF(ISBLANK('Input Balance Sheet'!B4),"",'Input Balance Sheet'!B4)</f>
        <v>Oil Garden</v>
      </c>
    </row>
    <row r="5" spans="1:3" x14ac:dyDescent="0.35">
      <c r="A5" s="29" t="s">
        <v>36</v>
      </c>
      <c r="B5" s="27">
        <f>IF(ISBLANK('Input Balance Sheet'!B5),"",'Input Balance Sheet'!B5)</f>
        <v>12345</v>
      </c>
    </row>
    <row r="6" spans="1:3" x14ac:dyDescent="0.35">
      <c r="A6" s="29" t="s">
        <v>37</v>
      </c>
      <c r="B6" s="27" t="str">
        <f>IF(ISBLANK('Input Balance Sheet'!B6),"",'Input Balance Sheet'!B6)</f>
        <v>Tax Haven</v>
      </c>
    </row>
    <row r="8" spans="1:3" x14ac:dyDescent="0.35">
      <c r="B8" s="10" t="s">
        <v>101</v>
      </c>
      <c r="C8" s="10" t="s">
        <v>47</v>
      </c>
    </row>
    <row r="9" spans="1:3" x14ac:dyDescent="0.35">
      <c r="C9">
        <f>'Input P&amp;L'!C9</f>
        <v>2018</v>
      </c>
    </row>
    <row r="10" spans="1:3" x14ac:dyDescent="0.35">
      <c r="B10" s="30" t="s">
        <v>91</v>
      </c>
      <c r="C10" s="71">
        <f>IF(NOT(ISBLANK('Input P&amp;L'!D26)),'Input P&amp;L'!C21,"")</f>
        <v>1011261</v>
      </c>
    </row>
    <row r="11" spans="1:3" x14ac:dyDescent="0.35">
      <c r="B11" s="27"/>
      <c r="C11" s="72"/>
    </row>
    <row r="12" spans="1:3" x14ac:dyDescent="0.35">
      <c r="B12" s="26" t="s">
        <v>99</v>
      </c>
      <c r="C12" s="72"/>
    </row>
    <row r="13" spans="1:3" x14ac:dyDescent="0.35">
      <c r="B13" s="1" t="s">
        <v>89</v>
      </c>
      <c r="C13" s="72">
        <f>IF(NOT(ISBLANK('Input P&amp;L'!C27)),'Input P&amp;L'!C27,"")</f>
        <v>15341</v>
      </c>
    </row>
    <row r="14" spans="1:3" x14ac:dyDescent="0.35">
      <c r="B14" s="28" t="s">
        <v>114</v>
      </c>
      <c r="C14" s="72">
        <f>IF(NOT(ISBLANK('Input Balance Sheet'!D20)),'Input Balance Sheet'!D20-'Input Balance Sheet'!C20,"")</f>
        <v>964</v>
      </c>
    </row>
    <row r="15" spans="1:3" x14ac:dyDescent="0.35">
      <c r="B15" s="28" t="s">
        <v>115</v>
      </c>
      <c r="C15" s="72">
        <f>IF(NOT(ISBLANK('Input Balance Sheet'!D44-'Input Balance Sheet'!D50)),'Input Balance Sheet'!C44+'Input Balance Sheet'!C50-'Input Balance Sheet'!D44-'Input Balance Sheet'!D50,"")</f>
        <v>7677</v>
      </c>
    </row>
    <row r="16" spans="1:3" x14ac:dyDescent="0.35">
      <c r="B16" s="28" t="s">
        <v>117</v>
      </c>
      <c r="C16" s="72">
        <f>IF(NOT(ISBLANK('Input Balance Sheet'!D20)),'Input Balance Sheet'!C19-'Input Balance Sheet'!D19,"")</f>
        <v>0</v>
      </c>
    </row>
    <row r="17" spans="2:3" x14ac:dyDescent="0.35">
      <c r="B17" s="28" t="s">
        <v>116</v>
      </c>
      <c r="C17" s="72">
        <f>IF(NOT(ISBLANK('Input Balance Sheet'!D44-'Input Balance Sheet'!D50)),'Input Balance Sheet'!D43+'Input Balance Sheet'!D49-'Input Balance Sheet'!C43-'Input Balance Sheet'!C49,"")</f>
        <v>-5493</v>
      </c>
    </row>
    <row r="18" spans="2:3" x14ac:dyDescent="0.35">
      <c r="B18" s="31" t="s">
        <v>100</v>
      </c>
      <c r="C18" s="73">
        <f>SUM(C10:C17)</f>
        <v>1029750</v>
      </c>
    </row>
    <row r="19" spans="2:3" x14ac:dyDescent="0.35">
      <c r="B19" s="29"/>
      <c r="C19" s="23"/>
    </row>
    <row r="22" spans="2:3" x14ac:dyDescent="0.35">
      <c r="B22" s="28"/>
    </row>
  </sheetData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Scoring Ranges</vt:lpstr>
      <vt:lpstr>Input Balance Sheet</vt:lpstr>
      <vt:lpstr>Input P&amp;L</vt:lpstr>
      <vt:lpstr>Output Tax Rate Multiplier</vt:lpstr>
      <vt:lpstr>Cash Flow</vt:lpstr>
      <vt:lpstr>'Cash Flow'!Print_Area</vt:lpstr>
      <vt:lpstr>'Input Balance Sheet'!Print_Area</vt:lpstr>
      <vt:lpstr>'Input P&amp;L'!Print_Area</vt:lpstr>
      <vt:lpstr>'Output Tax Rate Multiplier'!Print_Area</vt:lpstr>
      <vt:lpstr>'Scoring Ranges'!Print_Area</vt:lpstr>
    </vt:vector>
  </TitlesOfParts>
  <Company>The Dow Chemical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Kaltenborn</dc:creator>
  <dc:description>Korrektur gelesen</dc:description>
  <cp:lastModifiedBy>Danny Kaltenborn</cp:lastModifiedBy>
  <cp:lastPrinted>2020-03-28T11:19:01Z</cp:lastPrinted>
  <dcterms:created xsi:type="dcterms:W3CDTF">2012-11-16T13:09:37Z</dcterms:created>
  <dcterms:modified xsi:type="dcterms:W3CDTF">2020-03-29T09:33:37Z</dcterms:modified>
</cp:coreProperties>
</file>